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drawings/drawing5.xml" ContentType="application/vnd.openxmlformats-officedocument.drawing+xml"/>
  <Override PartName="/xl/customProperty8.bin" ContentType="application/vnd.openxmlformats-officedocument.spreadsheetml.customProperty"/>
  <Override PartName="/xl/drawings/drawing6.xml" ContentType="application/vnd.openxmlformats-officedocument.drawing+xml"/>
  <Override PartName="/xl/customProperty9.bin" ContentType="application/vnd.openxmlformats-officedocument.spreadsheetml.customProperty"/>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J:\Model\Historical Data\Website\"/>
    </mc:Choice>
  </mc:AlternateContent>
  <xr:revisionPtr revIDLastSave="0" documentId="8_{2ECFAA30-1DA6-494E-AC84-3579E723C448}" xr6:coauthVersionLast="47" xr6:coauthVersionMax="47" xr10:uidLastSave="{00000000-0000-0000-0000-000000000000}"/>
  <bookViews>
    <workbookView xWindow="-110" yWindow="-110" windowWidth="19420" windowHeight="10300" tabRatio="747" activeTab="5" xr2:uid="{E5CEE905-EF25-49F0-9A8F-93D93EB2D424}"/>
  </bookViews>
  <sheets>
    <sheet name="Organic metrics" sheetId="9" r:id="rId1"/>
    <sheet name="Annual Financial Statements" sheetId="2" r:id="rId2"/>
    <sheet name="Interim Financial Statements" sheetId="4" r:id="rId3"/>
    <sheet name="Annual Volume figures" sheetId="1" r:id="rId4"/>
    <sheet name="Quarterly Segmental Analysis" sheetId="5" r:id="rId5"/>
    <sheet name="Annual Segmental Analysis" sheetId="3" r:id="rId6"/>
    <sheet name="Annual COGS Split" sheetId="8" r:id="rId7"/>
  </sheets>
  <definedNames>
    <definedName name="_xlnm._FilterDatabase" localSheetId="1" hidden="1">'Annual Financial Statements'!$A$5:$AU$59</definedName>
    <definedName name="_xlnm.Print_Area" localSheetId="6">'Annual COGS Split'!$A$1:$M$14</definedName>
    <definedName name="_xlnm.Print_Area" localSheetId="1">'Annual Financial Statements'!$A$1:$M$104</definedName>
    <definedName name="_xlnm.Print_Area" localSheetId="5">'Annual Segmental Analysis'!$A$1:$M$59</definedName>
    <definedName name="_xlnm.Print_Area" localSheetId="3">'Annual Volume figures'!$A$1:$M$76</definedName>
    <definedName name="_xlnm.Print_Area" localSheetId="2">'Interim Financial Statements'!$A$1:$AV$106</definedName>
    <definedName name="_xlnm.Print_Area" localSheetId="4">'Quarterly Segmental Analysis'!$A$1:$BJ$92</definedName>
    <definedName name="_xlnm.Print_Titles" localSheetId="2">'Interim Financial Statements'!$A:$A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C66" i="4" l="1"/>
  <c r="BD66" i="4" l="1"/>
  <c r="BD50" i="4"/>
  <c r="BD23" i="4"/>
  <c r="BD18" i="4"/>
  <c r="R42" i="3" l="1"/>
  <c r="R27" i="3"/>
  <c r="R16" i="3"/>
  <c r="CA28" i="5" l="1"/>
  <c r="CA30" i="5"/>
  <c r="CA32" i="5"/>
  <c r="CA34" i="5"/>
  <c r="CA35" i="5" l="1"/>
  <c r="CA33" i="5"/>
  <c r="CA31" i="5"/>
  <c r="CA29" i="5"/>
  <c r="CA24" i="5"/>
  <c r="CA23" i="5"/>
  <c r="CA22" i="5"/>
  <c r="CA21" i="5"/>
  <c r="CA20" i="5"/>
  <c r="CA19" i="5"/>
  <c r="CA18" i="5"/>
  <c r="CA17" i="5"/>
  <c r="CA11" i="5"/>
  <c r="CA9" i="5"/>
  <c r="CA7" i="5"/>
  <c r="CA12" i="5"/>
  <c r="CA10" i="5"/>
  <c r="CA8" i="5"/>
  <c r="CA6" i="5"/>
  <c r="Q51" i="1"/>
  <c r="CB34" i="5" l="1"/>
  <c r="CB32" i="5"/>
  <c r="CB30" i="5"/>
  <c r="CB28" i="5"/>
  <c r="CB35" i="5"/>
  <c r="CB33" i="5"/>
  <c r="CB31" i="5"/>
  <c r="CB29" i="5"/>
  <c r="Q71" i="1"/>
  <c r="Q69" i="1"/>
  <c r="Q67" i="1"/>
  <c r="Q65" i="1"/>
  <c r="Q63" i="1"/>
  <c r="Q61" i="1"/>
  <c r="Q59" i="1"/>
  <c r="Q57" i="1"/>
  <c r="Q55" i="1"/>
  <c r="Q49" i="1"/>
  <c r="Q47" i="1"/>
  <c r="Q45" i="1"/>
  <c r="Q39" i="1"/>
  <c r="Q37" i="1"/>
  <c r="Q35" i="1"/>
  <c r="Q33" i="1"/>
  <c r="Q31" i="1"/>
  <c r="Q29" i="1"/>
  <c r="Q27" i="1"/>
  <c r="Q23" i="1"/>
  <c r="Q19" i="1"/>
  <c r="Q17" i="1"/>
  <c r="Q15" i="1"/>
  <c r="Q13" i="1"/>
  <c r="Q11" i="1"/>
  <c r="Q9" i="1"/>
  <c r="BA20" i="4"/>
  <c r="Q66" i="2"/>
  <c r="AY59" i="4"/>
  <c r="Q13" i="8" l="1"/>
  <c r="Q44" i="2" l="1"/>
  <c r="Q42" i="2"/>
  <c r="Q42" i="3"/>
  <c r="Q27" i="3"/>
  <c r="Q16" i="3"/>
  <c r="CA13" i="5"/>
  <c r="CB13" i="5"/>
  <c r="Q40" i="2"/>
  <c r="Q36" i="2"/>
  <c r="Q34" i="2"/>
  <c r="Q33" i="2"/>
  <c r="Q31" i="2"/>
  <c r="Q29" i="2"/>
  <c r="Q27" i="2"/>
  <c r="Q25" i="2"/>
  <c r="Q23" i="2"/>
  <c r="Q22" i="2"/>
  <c r="Q20" i="2"/>
  <c r="Q18" i="2"/>
  <c r="Q17" i="2"/>
  <c r="Q15" i="2"/>
  <c r="Q13" i="2"/>
  <c r="Q11" i="2"/>
  <c r="Q9" i="2"/>
  <c r="Q7" i="2"/>
  <c r="BZ35" i="5" l="1"/>
  <c r="BZ33" i="5"/>
  <c r="BZ31" i="5"/>
  <c r="BZ24" i="5"/>
  <c r="BZ22" i="5"/>
  <c r="BZ20" i="5"/>
  <c r="BZ18" i="5"/>
  <c r="BZ13" i="5"/>
  <c r="BZ11" i="5"/>
  <c r="BZ9" i="5"/>
  <c r="BZ29" i="5"/>
  <c r="BZ7" i="5"/>
  <c r="BB92" i="4" l="1"/>
  <c r="BB50" i="4" l="1"/>
  <c r="BB44" i="4"/>
  <c r="BB34" i="4"/>
  <c r="BB18" i="4"/>
  <c r="P54" i="3" l="1"/>
  <c r="P51" i="3"/>
  <c r="P48" i="3"/>
  <c r="BW29" i="5"/>
  <c r="P13" i="8" l="1"/>
  <c r="P52" i="3" l="1"/>
  <c r="P49" i="3"/>
  <c r="P46" i="3"/>
  <c r="P45" i="3"/>
  <c r="P43" i="3"/>
  <c r="P37" i="3"/>
  <c r="P34" i="3"/>
  <c r="P31" i="3"/>
  <c r="P28" i="3"/>
  <c r="P21" i="3"/>
  <c r="P19" i="3"/>
  <c r="P17" i="3"/>
  <c r="P12" i="3"/>
  <c r="P10" i="3"/>
  <c r="P8" i="3"/>
  <c r="P6" i="3"/>
  <c r="P42" i="3"/>
  <c r="P27" i="3"/>
  <c r="P16" i="3"/>
  <c r="BW35" i="5"/>
  <c r="BW33" i="5"/>
  <c r="BW31" i="5"/>
  <c r="BW22" i="5"/>
  <c r="BW20" i="5"/>
  <c r="BW18" i="5"/>
  <c r="BW23" i="5"/>
  <c r="BW24" i="5" s="1"/>
  <c r="BW77" i="5"/>
  <c r="BW74" i="5"/>
  <c r="BW71" i="5"/>
  <c r="BW68" i="5"/>
  <c r="BW58" i="5"/>
  <c r="BW61" i="5"/>
  <c r="BW55" i="5"/>
  <c r="BW52" i="5"/>
  <c r="BW13" i="5"/>
  <c r="BW11" i="5"/>
  <c r="BW9" i="5"/>
  <c r="BW7" i="5"/>
  <c r="BQ7" i="5"/>
  <c r="BQ9" i="5"/>
  <c r="BQ11" i="5"/>
  <c r="BQ18" i="5"/>
  <c r="BQ20" i="5"/>
  <c r="BQ22" i="5"/>
  <c r="BQ29" i="5"/>
  <c r="BQ31" i="5"/>
  <c r="BQ33" i="5"/>
  <c r="BL7" i="5"/>
  <c r="BL9" i="5"/>
  <c r="BL11" i="5"/>
  <c r="BL12" i="5"/>
  <c r="BL13" i="5" s="1"/>
  <c r="BL18" i="5"/>
  <c r="BL20" i="5"/>
  <c r="BL22" i="5"/>
  <c r="BL23" i="5"/>
  <c r="BQ24" i="5" s="1"/>
  <c r="BG9" i="5"/>
  <c r="BG11" i="5"/>
  <c r="BG13" i="5"/>
  <c r="BG18" i="5"/>
  <c r="BG20" i="5"/>
  <c r="BG22" i="5"/>
  <c r="BG24" i="5"/>
  <c r="P68" i="1"/>
  <c r="P65" i="1"/>
  <c r="P61" i="1"/>
  <c r="P49" i="1"/>
  <c r="P63" i="1"/>
  <c r="P59" i="1"/>
  <c r="P57" i="1"/>
  <c r="P55" i="1"/>
  <c r="P51" i="1"/>
  <c r="P39" i="1"/>
  <c r="P37" i="1"/>
  <c r="P35" i="1"/>
  <c r="P33" i="1"/>
  <c r="P29" i="1"/>
  <c r="P27" i="1"/>
  <c r="P15" i="1"/>
  <c r="P19" i="1"/>
  <c r="P17" i="1"/>
  <c r="P13" i="1"/>
  <c r="P11" i="1"/>
  <c r="P47" i="1"/>
  <c r="P31" i="1"/>
  <c r="P7" i="3" l="1"/>
  <c r="Q7" i="3"/>
  <c r="P32" i="3"/>
  <c r="Q32" i="3"/>
  <c r="P9" i="3"/>
  <c r="Q9" i="3"/>
  <c r="P35" i="3"/>
  <c r="Q35" i="3"/>
  <c r="P38" i="3"/>
  <c r="Q38" i="3"/>
  <c r="P11" i="3"/>
  <c r="Q11" i="3"/>
  <c r="P13" i="3"/>
  <c r="Q13" i="3"/>
  <c r="P44" i="3"/>
  <c r="Q44" i="3"/>
  <c r="P18" i="3"/>
  <c r="Q18" i="3"/>
  <c r="P20" i="3"/>
  <c r="Q20" i="3"/>
  <c r="P47" i="3"/>
  <c r="Q47" i="3"/>
  <c r="P22" i="3"/>
  <c r="Q22" i="3"/>
  <c r="P50" i="3"/>
  <c r="Q50" i="3"/>
  <c r="P29" i="3"/>
  <c r="Q29" i="3"/>
  <c r="P53" i="3"/>
  <c r="Q53" i="3"/>
  <c r="P23" i="3"/>
  <c r="BL24" i="5"/>
  <c r="BQ13" i="5"/>
  <c r="P45" i="1"/>
  <c r="P40" i="1"/>
  <c r="P9" i="1"/>
  <c r="Q41" i="1" l="1"/>
  <c r="P24" i="3"/>
  <c r="Q24" i="3"/>
  <c r="P71" i="1"/>
  <c r="Q72" i="1" s="1"/>
  <c r="BA27" i="4" l="1"/>
  <c r="BA17" i="4"/>
  <c r="P54" i="2"/>
  <c r="P52" i="2"/>
  <c r="P50" i="2"/>
  <c r="P48" i="2"/>
  <c r="P46" i="2"/>
  <c r="P44" i="2"/>
  <c r="P42" i="2"/>
  <c r="P29" i="2"/>
  <c r="P40" i="2"/>
  <c r="P36" i="2"/>
  <c r="P33" i="2"/>
  <c r="P31" i="2"/>
  <c r="P27" i="2"/>
  <c r="P25" i="2"/>
  <c r="P22" i="2"/>
  <c r="P20" i="2"/>
  <c r="P15" i="2"/>
  <c r="P13" i="2"/>
  <c r="P9" i="2"/>
  <c r="P7" i="2"/>
  <c r="P11" i="2"/>
  <c r="BT77" i="5"/>
  <c r="BT74" i="5"/>
  <c r="BT71" i="5"/>
  <c r="BT68" i="5"/>
  <c r="BT61" i="5"/>
  <c r="BT58" i="5"/>
  <c r="BT55" i="5"/>
  <c r="BT52" i="5"/>
  <c r="BT22" i="5"/>
  <c r="BT18" i="5"/>
  <c r="BT20" i="5"/>
  <c r="BT11" i="5"/>
  <c r="BT9" i="5"/>
  <c r="BT7" i="5"/>
  <c r="AY92" i="4"/>
  <c r="AY78" i="4"/>
  <c r="AY75" i="4"/>
  <c r="AY79" i="4" s="1"/>
  <c r="AY83" i="4" s="1"/>
  <c r="AY70" i="4"/>
  <c r="AY71" i="4" s="1"/>
  <c r="AX66" i="4"/>
  <c r="AV66" i="4"/>
  <c r="P74" i="2" l="1"/>
  <c r="P91" i="2"/>
  <c r="P18" i="2"/>
  <c r="P34" i="2"/>
  <c r="P17" i="2"/>
  <c r="P23" i="2"/>
  <c r="P77" i="2"/>
  <c r="P78" i="2" s="1"/>
  <c r="P82" i="2" s="1"/>
  <c r="P69" i="2"/>
  <c r="P70" i="2" s="1"/>
  <c r="BT23" i="5"/>
  <c r="BT24" i="5" s="1"/>
  <c r="BT12" i="5"/>
  <c r="BT13" i="5" s="1"/>
  <c r="AZ78" i="4"/>
  <c r="AZ75" i="4"/>
  <c r="AZ70" i="4"/>
  <c r="AZ71" i="4" s="1"/>
  <c r="O66" i="2"/>
  <c r="O16" i="3"/>
  <c r="O27" i="3"/>
  <c r="O42" i="3"/>
  <c r="BR77" i="5"/>
  <c r="BR74" i="5"/>
  <c r="BR71" i="5"/>
  <c r="BR68" i="5"/>
  <c r="BR61" i="5"/>
  <c r="BR58" i="5"/>
  <c r="BR55" i="5"/>
  <c r="BR52" i="5"/>
  <c r="BR35" i="5"/>
  <c r="BR33" i="5"/>
  <c r="BR31" i="5"/>
  <c r="BR29" i="5"/>
  <c r="BR22" i="5"/>
  <c r="BR24" i="5"/>
  <c r="BR20" i="5"/>
  <c r="BR18" i="5"/>
  <c r="BP18" i="5"/>
  <c r="BR13" i="5"/>
  <c r="BR11" i="5"/>
  <c r="BR9" i="5"/>
  <c r="BR7" i="5"/>
  <c r="BP35" i="5"/>
  <c r="BP24" i="5"/>
  <c r="BP22" i="5"/>
  <c r="BP20" i="5"/>
  <c r="BP13" i="5"/>
  <c r="BP11" i="5"/>
  <c r="BP9" i="5"/>
  <c r="BP7" i="5"/>
  <c r="AV18" i="4"/>
  <c r="AX70" i="4"/>
  <c r="AZ79" i="4" l="1"/>
  <c r="AZ83" i="4" s="1"/>
  <c r="AY40" i="4"/>
  <c r="AY29" i="4"/>
  <c r="O45" i="1" l="1"/>
  <c r="O68" i="1"/>
  <c r="P69" i="1" s="1"/>
  <c r="O65" i="1"/>
  <c r="O63" i="1"/>
  <c r="O61" i="1"/>
  <c r="O59" i="1"/>
  <c r="O57" i="1"/>
  <c r="O55" i="1"/>
  <c r="O51" i="1"/>
  <c r="O49" i="1"/>
  <c r="O47" i="1"/>
  <c r="O40" i="1"/>
  <c r="P41" i="1" s="1"/>
  <c r="O39" i="1"/>
  <c r="O37" i="1"/>
  <c r="O35" i="1"/>
  <c r="O33" i="1"/>
  <c r="O31" i="1"/>
  <c r="O29" i="1"/>
  <c r="O27" i="1"/>
  <c r="O22" i="1"/>
  <c r="O19" i="1"/>
  <c r="O17" i="1"/>
  <c r="O15" i="1"/>
  <c r="O13" i="1"/>
  <c r="O11" i="1"/>
  <c r="O9" i="1"/>
  <c r="AX18" i="4"/>
  <c r="AY25" i="4"/>
  <c r="AY23" i="4"/>
  <c r="AY20" i="4"/>
  <c r="AY17" i="4"/>
  <c r="AX34" i="4"/>
  <c r="AX23" i="4"/>
  <c r="AX78" i="4"/>
  <c r="AX75" i="4"/>
  <c r="AX59" i="4"/>
  <c r="AY57" i="4"/>
  <c r="AX57" i="4"/>
  <c r="AY54" i="4"/>
  <c r="AX54" i="4"/>
  <c r="AY52" i="4"/>
  <c r="AX52" i="4"/>
  <c r="AY50" i="4"/>
  <c r="AX50" i="4"/>
  <c r="AY48" i="4"/>
  <c r="AX48" i="4"/>
  <c r="AY46" i="4"/>
  <c r="AX46" i="4"/>
  <c r="AY44" i="4"/>
  <c r="AX44" i="4"/>
  <c r="AY42" i="4"/>
  <c r="AX42" i="4"/>
  <c r="AY38" i="4"/>
  <c r="AX38" i="4"/>
  <c r="AY36" i="4"/>
  <c r="AX36" i="4"/>
  <c r="AY34" i="4"/>
  <c r="AY33" i="4"/>
  <c r="AX33" i="4"/>
  <c r="AY31" i="4"/>
  <c r="AX31" i="4"/>
  <c r="AY27" i="4"/>
  <c r="AX27" i="4"/>
  <c r="AX25" i="4"/>
  <c r="AX22" i="4"/>
  <c r="AX20" i="4"/>
  <c r="AX17" i="4"/>
  <c r="AY15" i="4"/>
  <c r="AX15" i="4"/>
  <c r="AY13" i="4"/>
  <c r="AX13" i="4"/>
  <c r="AY11" i="4"/>
  <c r="AX11" i="4"/>
  <c r="AY9" i="4"/>
  <c r="AX9" i="4"/>
  <c r="AY7" i="4"/>
  <c r="AX7" i="4"/>
  <c r="O91" i="2"/>
  <c r="O74" i="2"/>
  <c r="O40" i="2"/>
  <c r="O29" i="2"/>
  <c r="P23" i="1" l="1"/>
  <c r="AX79" i="4"/>
  <c r="AX83" i="4" s="1"/>
  <c r="O71" i="1"/>
  <c r="P72" i="1" s="1"/>
  <c r="AY22" i="4"/>
  <c r="AY18" i="4"/>
  <c r="O77" i="2" l="1"/>
  <c r="O78" i="2" s="1"/>
  <c r="O82" i="2" s="1"/>
  <c r="O69" i="2"/>
  <c r="O70" i="2" s="1"/>
  <c r="O34" i="2"/>
  <c r="O23" i="2"/>
  <c r="O11" i="2"/>
  <c r="O59" i="2"/>
  <c r="O57" i="2"/>
  <c r="O54" i="2"/>
  <c r="O52" i="2"/>
  <c r="O50" i="2"/>
  <c r="O48" i="2"/>
  <c r="O46" i="2"/>
  <c r="O44" i="2"/>
  <c r="O42" i="2"/>
  <c r="O36" i="2"/>
  <c r="O33" i="2"/>
  <c r="O31" i="2"/>
  <c r="O27" i="2"/>
  <c r="O25" i="2"/>
  <c r="O22" i="2"/>
  <c r="O20" i="2"/>
  <c r="O18" i="2"/>
  <c r="O17" i="2"/>
  <c r="O15" i="2"/>
  <c r="O13" i="2"/>
  <c r="O9" i="2"/>
  <c r="O7" i="2"/>
  <c r="AV70" i="4"/>
  <c r="AW38" i="4" l="1"/>
  <c r="AW18" i="4"/>
  <c r="AW23" i="4"/>
  <c r="AW34" i="4"/>
  <c r="N77" i="2"/>
  <c r="N69" i="2"/>
  <c r="N70" i="2" s="1"/>
  <c r="M66" i="2" l="1"/>
  <c r="N78" i="2"/>
  <c r="N82" i="2" s="1"/>
  <c r="N23" i="3"/>
  <c r="N61" i="1"/>
  <c r="C42" i="2"/>
  <c r="D42" i="2"/>
  <c r="M42" i="2"/>
  <c r="N42" i="2"/>
  <c r="N13" i="8" l="1"/>
  <c r="N53" i="3"/>
  <c r="N50" i="3"/>
  <c r="N47" i="3"/>
  <c r="N44" i="3"/>
  <c r="N42" i="3"/>
  <c r="N38" i="3"/>
  <c r="N35" i="3"/>
  <c r="N32" i="3"/>
  <c r="N29" i="3"/>
  <c r="N27" i="3"/>
  <c r="N24" i="3"/>
  <c r="N22" i="3"/>
  <c r="N20" i="3"/>
  <c r="N18" i="3"/>
  <c r="N16" i="3"/>
  <c r="N12" i="3"/>
  <c r="N11" i="3"/>
  <c r="N9" i="3"/>
  <c r="N7" i="3"/>
  <c r="BM7" i="5"/>
  <c r="BM77" i="5"/>
  <c r="BM74" i="5"/>
  <c r="BM71" i="5"/>
  <c r="BM68" i="5"/>
  <c r="BM61" i="5"/>
  <c r="BM58" i="5"/>
  <c r="BM55" i="5"/>
  <c r="BM52" i="5"/>
  <c r="BM24" i="5"/>
  <c r="BM22" i="5"/>
  <c r="BM20" i="5"/>
  <c r="BM18" i="5"/>
  <c r="BM13" i="5"/>
  <c r="BM11" i="5"/>
  <c r="BM9" i="5"/>
  <c r="N40" i="1"/>
  <c r="N68" i="1"/>
  <c r="N65" i="1"/>
  <c r="N63" i="1"/>
  <c r="N59" i="1"/>
  <c r="N57" i="1"/>
  <c r="N55" i="1"/>
  <c r="N51" i="1"/>
  <c r="N49" i="1"/>
  <c r="N47" i="1"/>
  <c r="N45" i="1"/>
  <c r="N39" i="1"/>
  <c r="N37" i="1"/>
  <c r="N35" i="1"/>
  <c r="N33" i="1"/>
  <c r="N31" i="1"/>
  <c r="N29" i="1"/>
  <c r="N27" i="1"/>
  <c r="N22" i="1"/>
  <c r="N19" i="1"/>
  <c r="N17" i="1"/>
  <c r="N15" i="1"/>
  <c r="N13" i="1"/>
  <c r="N11" i="1"/>
  <c r="N9" i="1"/>
  <c r="AW59" i="4"/>
  <c r="AW57" i="4"/>
  <c r="AW54" i="4"/>
  <c r="AW52" i="4"/>
  <c r="AW50" i="4"/>
  <c r="AW44" i="4"/>
  <c r="AW42" i="4"/>
  <c r="AW36" i="4"/>
  <c r="AW33" i="4"/>
  <c r="AW31" i="4"/>
  <c r="AW27" i="4"/>
  <c r="AW25" i="4"/>
  <c r="AW22" i="4"/>
  <c r="AW20" i="4"/>
  <c r="AW17" i="4"/>
  <c r="AW15" i="4"/>
  <c r="AW13" i="4"/>
  <c r="AW11" i="4"/>
  <c r="AW9" i="4"/>
  <c r="AW7" i="4"/>
  <c r="N18" i="2"/>
  <c r="N23" i="2"/>
  <c r="N7" i="2"/>
  <c r="N59" i="2"/>
  <c r="N57" i="2"/>
  <c r="N54" i="2"/>
  <c r="N52" i="2"/>
  <c r="N50" i="2"/>
  <c r="N44" i="2"/>
  <c r="N36" i="2"/>
  <c r="N34" i="2"/>
  <c r="N33" i="2"/>
  <c r="N31" i="2"/>
  <c r="N27" i="2"/>
  <c r="N25" i="2"/>
  <c r="N22" i="2"/>
  <c r="N20" i="2"/>
  <c r="N17" i="2"/>
  <c r="N15" i="2"/>
  <c r="N13" i="2"/>
  <c r="N11" i="2"/>
  <c r="N9" i="2"/>
  <c r="BK35" i="5"/>
  <c r="BK24" i="5"/>
  <c r="BK22" i="5"/>
  <c r="BK20" i="5"/>
  <c r="BK18" i="5"/>
  <c r="BK13" i="5"/>
  <c r="BK11" i="5"/>
  <c r="BK9" i="5"/>
  <c r="BK7" i="5"/>
  <c r="O41" i="1" l="1"/>
  <c r="O23" i="1"/>
  <c r="O69" i="1"/>
  <c r="N71" i="1"/>
  <c r="J74" i="5"/>
  <c r="AV78" i="4"/>
  <c r="AV75" i="4"/>
  <c r="AV59" i="4"/>
  <c r="AV57" i="4"/>
  <c r="AV54" i="4"/>
  <c r="AV52" i="4"/>
  <c r="AV50" i="4"/>
  <c r="AV48" i="4"/>
  <c r="AV46" i="4"/>
  <c r="AV44" i="4"/>
  <c r="AV42" i="4"/>
  <c r="AV38" i="4"/>
  <c r="AV36" i="4"/>
  <c r="AV33" i="4"/>
  <c r="AV31" i="4"/>
  <c r="AV27" i="4"/>
  <c r="AV25" i="4"/>
  <c r="AV22" i="4"/>
  <c r="AV20" i="4"/>
  <c r="AV17" i="4"/>
  <c r="AV15" i="4"/>
  <c r="AV13" i="4"/>
  <c r="AV11" i="4"/>
  <c r="AV9" i="4"/>
  <c r="AV7" i="4"/>
  <c r="O72" i="1" l="1"/>
  <c r="AV79" i="4"/>
  <c r="AV83" i="4" s="1"/>
  <c r="AV71" i="4"/>
  <c r="M78" i="2"/>
  <c r="D69" i="2"/>
  <c r="C69" i="2"/>
  <c r="AT66" i="4"/>
  <c r="AT70" i="4" s="1"/>
  <c r="AT71" i="4" s="1"/>
  <c r="AS66" i="4"/>
  <c r="AS70" i="4" s="1"/>
  <c r="AS71" i="4" s="1"/>
  <c r="AU70" i="4"/>
  <c r="AU71" i="4" s="1"/>
  <c r="AR70" i="4"/>
  <c r="AR71" i="4" s="1"/>
  <c r="AP70" i="4"/>
  <c r="AP71" i="4" s="1"/>
  <c r="AO70" i="4"/>
  <c r="AO71" i="4" s="1"/>
  <c r="AN70" i="4"/>
  <c r="AN71" i="4" s="1"/>
  <c r="AM70" i="4"/>
  <c r="AM71" i="4" s="1"/>
  <c r="AL70" i="4"/>
  <c r="AL71" i="4" s="1"/>
  <c r="AK70" i="4"/>
  <c r="AJ70" i="4"/>
  <c r="AJ71" i="4" s="1"/>
  <c r="AI70" i="4"/>
  <c r="AI71" i="4" s="1"/>
  <c r="AH70" i="4"/>
  <c r="AG70" i="4"/>
  <c r="AG71" i="4" s="1"/>
  <c r="AF70" i="4"/>
  <c r="AF71" i="4" s="1"/>
  <c r="AE70" i="4"/>
  <c r="AD70" i="4"/>
  <c r="AD71" i="4" s="1"/>
  <c r="AC70" i="4"/>
  <c r="AC71" i="4" s="1"/>
  <c r="AB70" i="4"/>
  <c r="AA70" i="4"/>
  <c r="AA71" i="4" s="1"/>
  <c r="Z70" i="4"/>
  <c r="Z71" i="4" s="1"/>
  <c r="Y70" i="4"/>
  <c r="X70" i="4"/>
  <c r="X71" i="4" s="1"/>
  <c r="W70" i="4"/>
  <c r="W71" i="4" s="1"/>
  <c r="V70" i="4"/>
  <c r="U70" i="4"/>
  <c r="U71" i="4" s="1"/>
  <c r="T70" i="4"/>
  <c r="T71" i="4" s="1"/>
  <c r="S70" i="4"/>
  <c r="R70" i="4"/>
  <c r="R71" i="4" s="1"/>
  <c r="Q70" i="4"/>
  <c r="Q71" i="4" s="1"/>
  <c r="P70" i="4"/>
  <c r="P71" i="4" s="1"/>
  <c r="O70" i="4"/>
  <c r="O71" i="4" s="1"/>
  <c r="N70" i="4"/>
  <c r="M70" i="4"/>
  <c r="M71" i="4" s="1"/>
  <c r="L70" i="4"/>
  <c r="K70" i="4"/>
  <c r="K71" i="4" s="1"/>
  <c r="J70" i="4"/>
  <c r="J71" i="4" s="1"/>
  <c r="I70" i="4"/>
  <c r="I71" i="4" s="1"/>
  <c r="H70" i="4"/>
  <c r="H71" i="4" s="1"/>
  <c r="G70" i="4"/>
  <c r="F70" i="4"/>
  <c r="F71" i="4" s="1"/>
  <c r="E70" i="4"/>
  <c r="E71" i="4" s="1"/>
  <c r="D70" i="4"/>
  <c r="D71" i="4" s="1"/>
  <c r="C70" i="4"/>
  <c r="C71" i="4" s="1"/>
  <c r="B70" i="4"/>
  <c r="B71" i="4" s="1"/>
  <c r="M69" i="2"/>
  <c r="L66" i="2"/>
  <c r="L69" i="2" s="1"/>
  <c r="B69" i="2"/>
  <c r="M55" i="2"/>
  <c r="D55" i="2"/>
  <c r="K55" i="2"/>
  <c r="J55" i="2"/>
  <c r="I55" i="2"/>
  <c r="H55" i="2"/>
  <c r="G55" i="2"/>
  <c r="F55" i="2"/>
  <c r="E55" i="2"/>
  <c r="G90" i="4"/>
  <c r="AU79" i="4"/>
  <c r="AT79" i="4"/>
  <c r="AS79" i="4"/>
  <c r="AQ79" i="4"/>
  <c r="AP79" i="4"/>
  <c r="AN79" i="4"/>
  <c r="AL79" i="4"/>
  <c r="B79" i="4"/>
  <c r="C37" i="5" l="1"/>
  <c r="M12" i="3"/>
  <c r="N13" i="3" s="1"/>
  <c r="M13" i="8"/>
  <c r="L13" i="8"/>
  <c r="K13" i="8"/>
  <c r="J13" i="8"/>
  <c r="AU47" i="4" l="1"/>
  <c r="AW48" i="4" s="1"/>
  <c r="AU45" i="4"/>
  <c r="AW46" i="4" s="1"/>
  <c r="M47" i="2"/>
  <c r="N48" i="2" s="1"/>
  <c r="M45" i="2"/>
  <c r="N46" i="2" s="1"/>
  <c r="M34" i="2" l="1"/>
  <c r="M59" i="2"/>
  <c r="M57" i="2"/>
  <c r="M54" i="2"/>
  <c r="M52" i="2"/>
  <c r="M50" i="2"/>
  <c r="M48" i="2"/>
  <c r="M46" i="2"/>
  <c r="M38" i="2"/>
  <c r="M36" i="2"/>
  <c r="M33" i="2"/>
  <c r="M31" i="2"/>
  <c r="M27" i="2"/>
  <c r="M25" i="2"/>
  <c r="M23" i="2"/>
  <c r="M22" i="2"/>
  <c r="M20" i="2"/>
  <c r="M18" i="2"/>
  <c r="M17" i="2"/>
  <c r="M15" i="2"/>
  <c r="M13" i="2"/>
  <c r="M11" i="2"/>
  <c r="M9" i="2"/>
  <c r="M7" i="2"/>
  <c r="M22" i="1"/>
  <c r="N23" i="1" s="1"/>
  <c r="M68" i="1"/>
  <c r="N69" i="1" s="1"/>
  <c r="M65" i="1"/>
  <c r="M63" i="1"/>
  <c r="M61" i="1"/>
  <c r="M59" i="1"/>
  <c r="M57" i="1"/>
  <c r="M55" i="1"/>
  <c r="M51" i="1"/>
  <c r="M49" i="1"/>
  <c r="M47" i="1"/>
  <c r="M45" i="1"/>
  <c r="M40" i="1"/>
  <c r="N41" i="1" s="1"/>
  <c r="M39" i="1"/>
  <c r="M37" i="1"/>
  <c r="M35" i="1"/>
  <c r="M33" i="1"/>
  <c r="M31" i="1"/>
  <c r="M29" i="1"/>
  <c r="M27" i="1"/>
  <c r="M19" i="1"/>
  <c r="M17" i="1"/>
  <c r="M15" i="1"/>
  <c r="M13" i="1"/>
  <c r="M11" i="1"/>
  <c r="M9" i="1"/>
  <c r="AU38" i="4"/>
  <c r="AU36" i="4"/>
  <c r="AU59" i="4"/>
  <c r="AU57" i="4"/>
  <c r="AU54" i="4"/>
  <c r="AU52" i="4"/>
  <c r="AU50" i="4"/>
  <c r="AU48" i="4"/>
  <c r="AU46" i="4"/>
  <c r="AU44" i="4"/>
  <c r="AU42" i="4"/>
  <c r="AU34" i="4"/>
  <c r="AU33" i="4"/>
  <c r="AU31" i="4"/>
  <c r="AU27" i="4"/>
  <c r="AU25" i="4"/>
  <c r="AU23" i="4"/>
  <c r="AU22" i="4"/>
  <c r="AU20" i="4"/>
  <c r="AU18" i="4"/>
  <c r="AU17" i="4"/>
  <c r="AU15" i="4"/>
  <c r="AU13" i="4"/>
  <c r="AU11" i="4"/>
  <c r="AU9" i="4"/>
  <c r="AU7" i="4"/>
  <c r="M71" i="1" l="1"/>
  <c r="N72" i="1" s="1"/>
  <c r="M53" i="3"/>
  <c r="M50" i="3"/>
  <c r="M47" i="3"/>
  <c r="M44" i="3"/>
  <c r="M42" i="3"/>
  <c r="M38" i="3"/>
  <c r="M35" i="3"/>
  <c r="M32" i="3"/>
  <c r="M29" i="3"/>
  <c r="M27" i="3"/>
  <c r="M22" i="3"/>
  <c r="M20" i="3"/>
  <c r="M18" i="3"/>
  <c r="M16" i="3"/>
  <c r="M11" i="3"/>
  <c r="M9" i="3"/>
  <c r="M7" i="3"/>
  <c r="BH77" i="5"/>
  <c r="BH74" i="5"/>
  <c r="BH71" i="5"/>
  <c r="BH68" i="5"/>
  <c r="BH61" i="5"/>
  <c r="BH58" i="5"/>
  <c r="BH55" i="5"/>
  <c r="BH52" i="5"/>
  <c r="BH24" i="5"/>
  <c r="BH22" i="5"/>
  <c r="BH20" i="5"/>
  <c r="BH18" i="5"/>
  <c r="BH13" i="5" l="1"/>
  <c r="BH11" i="5"/>
  <c r="BH9" i="5"/>
  <c r="BH7" i="5"/>
  <c r="BE11" i="5" l="1"/>
  <c r="BE9" i="5"/>
  <c r="BE7" i="5"/>
  <c r="BF24" i="5"/>
  <c r="BF22" i="5"/>
  <c r="BF20" i="5"/>
  <c r="BF18" i="5"/>
  <c r="BF13" i="5"/>
  <c r="BF11" i="5"/>
  <c r="BF9" i="5"/>
  <c r="BF7" i="5"/>
  <c r="BE24" i="5"/>
  <c r="BE22" i="5"/>
  <c r="BE20" i="5"/>
  <c r="BE18" i="5"/>
  <c r="BE13" i="5"/>
  <c r="BE77" i="5"/>
  <c r="BE74" i="5"/>
  <c r="BE71" i="5"/>
  <c r="BE68" i="5"/>
  <c r="BE61" i="5"/>
  <c r="BE58" i="5"/>
  <c r="BE55" i="5"/>
  <c r="BE52" i="5"/>
  <c r="AT52" i="4" l="1"/>
  <c r="AS18" i="4"/>
  <c r="AT59" i="4"/>
  <c r="AT57" i="4"/>
  <c r="AT54" i="4"/>
  <c r="AT50" i="4"/>
  <c r="AT48" i="4"/>
  <c r="AT46" i="4"/>
  <c r="AT44" i="4"/>
  <c r="AT42" i="4"/>
  <c r="AT38" i="4"/>
  <c r="AT36" i="4"/>
  <c r="AT34" i="4"/>
  <c r="AT33" i="4"/>
  <c r="AT31" i="4"/>
  <c r="AT27" i="4"/>
  <c r="AT25" i="4"/>
  <c r="AT23" i="4"/>
  <c r="AT22" i="4"/>
  <c r="AT20" i="4"/>
  <c r="AT18" i="4"/>
  <c r="AT17" i="4"/>
  <c r="AT15" i="4"/>
  <c r="AT13" i="4"/>
  <c r="AT11" i="4"/>
  <c r="AT9" i="4"/>
  <c r="AT7" i="4"/>
  <c r="BD22" i="5" l="1"/>
  <c r="BD20" i="5"/>
  <c r="BD18" i="5"/>
  <c r="BD11" i="5"/>
  <c r="BD9" i="5"/>
  <c r="BD7" i="5"/>
  <c r="BB9" i="5" l="1"/>
  <c r="AQ67" i="4"/>
  <c r="AQ70" i="4" s="1"/>
  <c r="AQ71" i="4" s="1"/>
  <c r="K66" i="2"/>
  <c r="AS55" i="4"/>
  <c r="L55" i="2" s="1"/>
  <c r="K67" i="2"/>
  <c r="L93" i="2" l="1"/>
  <c r="L43" i="2" l="1"/>
  <c r="M44" i="2" s="1"/>
  <c r="BB24" i="5" l="1"/>
  <c r="BB22" i="5"/>
  <c r="BB20" i="5"/>
  <c r="BB18" i="5"/>
  <c r="BB13" i="5"/>
  <c r="BB11" i="5"/>
  <c r="BB7" i="5"/>
  <c r="BC58" i="5" l="1"/>
  <c r="BC74" i="5"/>
  <c r="BC71" i="5"/>
  <c r="BC68" i="5"/>
  <c r="BC61" i="5"/>
  <c r="BC55" i="5"/>
  <c r="BC52" i="5"/>
  <c r="BC24" i="5"/>
  <c r="BC22" i="5"/>
  <c r="BC20" i="5"/>
  <c r="BC18" i="5"/>
  <c r="BC13" i="5"/>
  <c r="BC11" i="5"/>
  <c r="BC9" i="5"/>
  <c r="BC7" i="5"/>
  <c r="L55" i="1" l="1"/>
  <c r="L39" i="1"/>
  <c r="L37" i="1"/>
  <c r="L35" i="1"/>
  <c r="L33" i="1"/>
  <c r="L31" i="1"/>
  <c r="L29" i="1"/>
  <c r="L19" i="1"/>
  <c r="L17" i="1"/>
  <c r="L15" i="1"/>
  <c r="L13" i="1"/>
  <c r="K56" i="2"/>
  <c r="L9" i="2"/>
  <c r="L7" i="2"/>
  <c r="AS59" i="4"/>
  <c r="AS57" i="4"/>
  <c r="AS54" i="4"/>
  <c r="AS52" i="4"/>
  <c r="AS50" i="4"/>
  <c r="AS48" i="4"/>
  <c r="AS46" i="4"/>
  <c r="AS44" i="4"/>
  <c r="AS42" i="4"/>
  <c r="AS38" i="4"/>
  <c r="AS36" i="4"/>
  <c r="AS33" i="4"/>
  <c r="AS31" i="4"/>
  <c r="AS27" i="4"/>
  <c r="AS25" i="4"/>
  <c r="AS22" i="4"/>
  <c r="AS20" i="4"/>
  <c r="AS17" i="4"/>
  <c r="AS15" i="4"/>
  <c r="AS13" i="4"/>
  <c r="AS11" i="4"/>
  <c r="AS9" i="4"/>
  <c r="AS7" i="4"/>
  <c r="L42" i="3"/>
  <c r="L27" i="3"/>
  <c r="L23" i="3"/>
  <c r="M24" i="3" s="1"/>
  <c r="L16" i="3"/>
  <c r="L68" i="1"/>
  <c r="M69" i="1" s="1"/>
  <c r="L65" i="1"/>
  <c r="L63" i="1"/>
  <c r="L61" i="1"/>
  <c r="L59" i="1"/>
  <c r="L57" i="1"/>
  <c r="L51" i="1"/>
  <c r="L49" i="1"/>
  <c r="L47" i="1"/>
  <c r="L45" i="1"/>
  <c r="L40" i="1"/>
  <c r="M41" i="1" s="1"/>
  <c r="L27" i="1"/>
  <c r="L22" i="1"/>
  <c r="M23" i="1" s="1"/>
  <c r="L11" i="1"/>
  <c r="L9" i="1"/>
  <c r="L74" i="2"/>
  <c r="L78" i="2" s="1"/>
  <c r="L70" i="2"/>
  <c r="L23" i="2"/>
  <c r="L71" i="1" l="1"/>
  <c r="M72" i="1" s="1"/>
  <c r="L57" i="2"/>
  <c r="L12" i="3"/>
  <c r="M13" i="3" s="1"/>
  <c r="L18" i="2"/>
  <c r="L82" i="2"/>
  <c r="AZ24" i="5" l="1"/>
  <c r="AZ22" i="5"/>
  <c r="AZ20" i="5"/>
  <c r="AZ18" i="5"/>
  <c r="AZ13" i="5"/>
  <c r="AZ11" i="5"/>
  <c r="AZ9" i="5"/>
  <c r="AZ7" i="5"/>
  <c r="BA22" i="5" l="1"/>
  <c r="BA24" i="5"/>
  <c r="BA20" i="5"/>
  <c r="BA18" i="5"/>
  <c r="BA13" i="5"/>
  <c r="BA11" i="5"/>
  <c r="BA9" i="5"/>
  <c r="BA7" i="5"/>
  <c r="AZ77" i="5"/>
  <c r="AZ74" i="5"/>
  <c r="AZ71" i="5"/>
  <c r="AZ68" i="5"/>
  <c r="AZ61" i="5"/>
  <c r="AZ58" i="5"/>
  <c r="AZ55" i="5"/>
  <c r="AZ52" i="5"/>
  <c r="AU52" i="5"/>
  <c r="AP53" i="4" l="1"/>
  <c r="AP51" i="4"/>
  <c r="AR18" i="4"/>
  <c r="AR75" i="4" l="1"/>
  <c r="AR79" i="4" s="1"/>
  <c r="AR74" i="4"/>
  <c r="AP36" i="4" l="1"/>
  <c r="AR34" i="4"/>
  <c r="AR23" i="4"/>
  <c r="AR59" i="4"/>
  <c r="AR57" i="4"/>
  <c r="AR54" i="4"/>
  <c r="AR52" i="4"/>
  <c r="AR50" i="4"/>
  <c r="AR48" i="4"/>
  <c r="AR46" i="4"/>
  <c r="AR44" i="4"/>
  <c r="AR42" i="4"/>
  <c r="AR38" i="4"/>
  <c r="AR36" i="4"/>
  <c r="AR33" i="4"/>
  <c r="AR31" i="4"/>
  <c r="AR27" i="4"/>
  <c r="AR25" i="4"/>
  <c r="AR22" i="4"/>
  <c r="AR20" i="4"/>
  <c r="AR17" i="4"/>
  <c r="AR15" i="4"/>
  <c r="AR13" i="4"/>
  <c r="AR11" i="4"/>
  <c r="AR9" i="4"/>
  <c r="AR7" i="4"/>
  <c r="AP50" i="4"/>
  <c r="AP59" i="4"/>
  <c r="AP57" i="4"/>
  <c r="AP48" i="4"/>
  <c r="AP46" i="4"/>
  <c r="AP44" i="4"/>
  <c r="AP42" i="4"/>
  <c r="AP38" i="4"/>
  <c r="AP33" i="4"/>
  <c r="AP31" i="4"/>
  <c r="AP27" i="4"/>
  <c r="AP25" i="4"/>
  <c r="AP22" i="4"/>
  <c r="AP20" i="4"/>
  <c r="AP18" i="4"/>
  <c r="AP17" i="4"/>
  <c r="AP15" i="4"/>
  <c r="AP13" i="4"/>
  <c r="AP11" i="4"/>
  <c r="AP9" i="4"/>
  <c r="AP7" i="4"/>
  <c r="AY23" i="5" l="1"/>
  <c r="BD24" i="5" s="1"/>
  <c r="AY22" i="5"/>
  <c r="AY20" i="5"/>
  <c r="AY18" i="5"/>
  <c r="AY12" i="5"/>
  <c r="BD13" i="5" s="1"/>
  <c r="AY11" i="5"/>
  <c r="AY9" i="5"/>
  <c r="AY7" i="5"/>
  <c r="AX7" i="5" l="1"/>
  <c r="AQ18" i="4"/>
  <c r="K55" i="1"/>
  <c r="K39" i="1"/>
  <c r="K26" i="2"/>
  <c r="L27" i="2" s="1"/>
  <c r="K24" i="2"/>
  <c r="L25" i="2" s="1"/>
  <c r="K68" i="1" l="1"/>
  <c r="L69" i="1" s="1"/>
  <c r="K65" i="1"/>
  <c r="K63" i="1"/>
  <c r="K61" i="1"/>
  <c r="K59" i="1"/>
  <c r="K57" i="1"/>
  <c r="K51" i="1"/>
  <c r="K49" i="1"/>
  <c r="K47" i="1"/>
  <c r="K45" i="1"/>
  <c r="K40" i="1"/>
  <c r="L41" i="1" s="1"/>
  <c r="K37" i="1"/>
  <c r="K35" i="1"/>
  <c r="K33" i="1"/>
  <c r="K31" i="1"/>
  <c r="K29" i="1"/>
  <c r="K27" i="1"/>
  <c r="K22" i="1"/>
  <c r="L23" i="1" s="1"/>
  <c r="K19" i="1"/>
  <c r="K17" i="1"/>
  <c r="K15" i="1"/>
  <c r="K13" i="1"/>
  <c r="K11" i="1"/>
  <c r="K9" i="1"/>
  <c r="K49" i="3"/>
  <c r="L50" i="3" s="1"/>
  <c r="K46" i="3"/>
  <c r="L47" i="3" s="1"/>
  <c r="K43" i="3"/>
  <c r="L44" i="3" s="1"/>
  <c r="K37" i="3"/>
  <c r="L38" i="3" s="1"/>
  <c r="K34" i="3"/>
  <c r="L35" i="3" s="1"/>
  <c r="K31" i="3"/>
  <c r="L32" i="3" s="1"/>
  <c r="K28" i="3"/>
  <c r="L29" i="3" s="1"/>
  <c r="K21" i="3"/>
  <c r="L22" i="3" s="1"/>
  <c r="K19" i="3"/>
  <c r="L20" i="3" s="1"/>
  <c r="K17" i="3"/>
  <c r="L18" i="3" s="1"/>
  <c r="K10" i="3"/>
  <c r="L11" i="3" s="1"/>
  <c r="K8" i="3"/>
  <c r="L9" i="3" s="1"/>
  <c r="K6" i="3"/>
  <c r="L7" i="3" s="1"/>
  <c r="J6" i="3"/>
  <c r="K42" i="3"/>
  <c r="K27" i="3"/>
  <c r="K16" i="3"/>
  <c r="K7" i="3" l="1"/>
  <c r="K71" i="1"/>
  <c r="L72" i="1" s="1"/>
  <c r="K23" i="3"/>
  <c r="L24" i="3" s="1"/>
  <c r="K12" i="3"/>
  <c r="L13" i="3" s="1"/>
  <c r="AQ59" i="4" l="1"/>
  <c r="AQ57" i="4"/>
  <c r="AQ50" i="4"/>
  <c r="AQ48" i="4"/>
  <c r="AQ46" i="4"/>
  <c r="AQ44" i="4"/>
  <c r="AQ42" i="4"/>
  <c r="K42" i="2" s="1"/>
  <c r="AQ38" i="4"/>
  <c r="AQ36" i="4"/>
  <c r="AQ34" i="4"/>
  <c r="AQ33" i="4"/>
  <c r="AQ31" i="4"/>
  <c r="AQ27" i="4"/>
  <c r="AQ25" i="4"/>
  <c r="AQ22" i="4"/>
  <c r="AQ20" i="4"/>
  <c r="AQ17" i="4"/>
  <c r="AQ13" i="4"/>
  <c r="AQ11" i="4"/>
  <c r="AQ15" i="4"/>
  <c r="AQ9" i="4"/>
  <c r="AQ7" i="4"/>
  <c r="AP34" i="4"/>
  <c r="AP23" i="4"/>
  <c r="K95" i="2"/>
  <c r="K93" i="2"/>
  <c r="K90" i="2"/>
  <c r="K89" i="2"/>
  <c r="K87" i="2"/>
  <c r="K86" i="2"/>
  <c r="K80" i="2"/>
  <c r="K76" i="2"/>
  <c r="K75" i="2"/>
  <c r="K73" i="2"/>
  <c r="K72" i="2"/>
  <c r="K68" i="2"/>
  <c r="K65" i="2"/>
  <c r="K64" i="2"/>
  <c r="K58" i="2"/>
  <c r="L59" i="2" s="1"/>
  <c r="K53" i="2"/>
  <c r="L54" i="2" s="1"/>
  <c r="K51" i="2"/>
  <c r="L52" i="2" s="1"/>
  <c r="K49" i="2"/>
  <c r="L50" i="2" s="1"/>
  <c r="K47" i="2"/>
  <c r="L48" i="2" s="1"/>
  <c r="K45" i="2"/>
  <c r="L46" i="2" s="1"/>
  <c r="K43" i="2"/>
  <c r="L44" i="2" s="1"/>
  <c r="K37" i="2"/>
  <c r="L38" i="2" s="1"/>
  <c r="K35" i="2"/>
  <c r="L36" i="2" s="1"/>
  <c r="K32" i="2"/>
  <c r="L33" i="2" s="1"/>
  <c r="K30" i="2"/>
  <c r="K21" i="2"/>
  <c r="K19" i="2"/>
  <c r="L20" i="2" s="1"/>
  <c r="K12" i="2"/>
  <c r="K10" i="2"/>
  <c r="AX76" i="5"/>
  <c r="BC77" i="5" s="1"/>
  <c r="AX75" i="5"/>
  <c r="K51" i="3" s="1"/>
  <c r="AX74" i="5"/>
  <c r="AX72" i="5"/>
  <c r="K48" i="3" s="1"/>
  <c r="AX71" i="5"/>
  <c r="AX69" i="5"/>
  <c r="K45" i="3" s="1"/>
  <c r="AX68" i="5"/>
  <c r="AX62" i="5"/>
  <c r="K39" i="3" s="1"/>
  <c r="AX53" i="5"/>
  <c r="K30" i="3" s="1"/>
  <c r="AX56" i="5"/>
  <c r="K33" i="3" s="1"/>
  <c r="AX59" i="5"/>
  <c r="K36" i="3" s="1"/>
  <c r="AX58" i="5"/>
  <c r="AX55" i="5"/>
  <c r="AX52" i="5"/>
  <c r="AV24" i="5"/>
  <c r="AX22" i="5"/>
  <c r="AW22" i="5"/>
  <c r="AV22" i="5"/>
  <c r="AX20" i="5"/>
  <c r="AV20" i="5"/>
  <c r="AX18" i="5"/>
  <c r="AW18" i="5"/>
  <c r="AV13" i="5"/>
  <c r="AX11" i="5"/>
  <c r="AW11" i="5"/>
  <c r="AX9" i="5"/>
  <c r="AV9" i="5"/>
  <c r="AW7" i="5"/>
  <c r="L31" i="2" l="1"/>
  <c r="K41" i="2"/>
  <c r="L42" i="2" s="1"/>
  <c r="K69" i="2"/>
  <c r="K70" i="2" s="1"/>
  <c r="K23" i="2"/>
  <c r="L22" i="2"/>
  <c r="K16" i="2"/>
  <c r="L17" i="2" s="1"/>
  <c r="L13" i="2"/>
  <c r="K14" i="2"/>
  <c r="L15" i="2" s="1"/>
  <c r="L11" i="2"/>
  <c r="AX78" i="5"/>
  <c r="K54" i="3" s="1"/>
  <c r="K52" i="3"/>
  <c r="L53" i="3" s="1"/>
  <c r="K77" i="2"/>
  <c r="K74" i="2"/>
  <c r="K91" i="2"/>
  <c r="K78" i="2" l="1"/>
  <c r="K18" i="2"/>
  <c r="K82" i="2"/>
  <c r="AU7" i="5"/>
  <c r="AU9" i="5"/>
  <c r="AU11" i="5"/>
  <c r="AU13" i="5"/>
  <c r="AU18" i="5"/>
  <c r="AU20" i="5"/>
  <c r="AU22" i="5"/>
  <c r="AU24" i="5"/>
  <c r="AU55" i="5"/>
  <c r="AU58" i="5"/>
  <c r="AU61" i="5"/>
  <c r="AU68" i="5"/>
  <c r="AU71" i="5"/>
  <c r="AU74" i="5"/>
  <c r="AU77" i="5"/>
  <c r="AQ23" i="4" l="1"/>
  <c r="AT18" i="5"/>
  <c r="AT20" i="5"/>
  <c r="AT22" i="5"/>
  <c r="AT11" i="5"/>
  <c r="AT9" i="5"/>
  <c r="AT7" i="5"/>
  <c r="K34" i="2" l="1"/>
  <c r="K44" i="2" l="1"/>
  <c r="K36" i="2"/>
  <c r="K38" i="2"/>
  <c r="K46" i="2"/>
  <c r="K22" i="2"/>
  <c r="K20" i="2"/>
  <c r="K13" i="2"/>
  <c r="K9" i="2"/>
  <c r="K11" i="2"/>
  <c r="AP78" i="5"/>
  <c r="AT23" i="5"/>
  <c r="AY24" i="5" s="1"/>
  <c r="AT12" i="5"/>
  <c r="AY13" i="5" s="1"/>
  <c r="V68" i="5" l="1"/>
  <c r="AM19" i="5"/>
  <c r="AR19" i="5"/>
  <c r="AR8" i="5"/>
  <c r="AW9" i="5" s="1"/>
  <c r="AM8" i="5"/>
  <c r="AM10" i="5"/>
  <c r="K69" i="1"/>
  <c r="J55" i="1"/>
  <c r="J40" i="1"/>
  <c r="K41" i="1" s="1"/>
  <c r="AW20" i="5" l="1"/>
  <c r="AR9" i="5"/>
  <c r="AS75" i="5"/>
  <c r="AS59" i="5"/>
  <c r="H50" i="2" l="1"/>
  <c r="AL51" i="4"/>
  <c r="AL53" i="4"/>
  <c r="AN53" i="4"/>
  <c r="AP54" i="4" s="1"/>
  <c r="AN50" i="4"/>
  <c r="AO50" i="4"/>
  <c r="AO51" i="4"/>
  <c r="AQ52" i="4" s="1"/>
  <c r="AN51" i="4"/>
  <c r="AP52" i="4" s="1"/>
  <c r="AM50" i="4"/>
  <c r="I50" i="2" s="1"/>
  <c r="AM23" i="4"/>
  <c r="J21" i="3"/>
  <c r="K22" i="3" s="1"/>
  <c r="J19" i="3"/>
  <c r="K20" i="3" s="1"/>
  <c r="J17" i="3"/>
  <c r="K18" i="3" s="1"/>
  <c r="J10" i="3"/>
  <c r="K11" i="3" s="1"/>
  <c r="J8" i="3"/>
  <c r="K9" i="3" s="1"/>
  <c r="J95" i="2"/>
  <c r="J93" i="2"/>
  <c r="J90" i="2"/>
  <c r="J89" i="2"/>
  <c r="J80" i="2"/>
  <c r="J76" i="2"/>
  <c r="J75" i="2"/>
  <c r="J73" i="2"/>
  <c r="J72" i="2"/>
  <c r="J68" i="2"/>
  <c r="J65" i="2"/>
  <c r="J64" i="2"/>
  <c r="J58" i="2"/>
  <c r="K59" i="2" s="1"/>
  <c r="J56" i="2"/>
  <c r="K57" i="2" s="1"/>
  <c r="J49" i="2"/>
  <c r="K50" i="2" s="1"/>
  <c r="J47" i="2"/>
  <c r="K48" i="2" s="1"/>
  <c r="J45" i="2"/>
  <c r="J37" i="2"/>
  <c r="J35" i="2"/>
  <c r="J32" i="2"/>
  <c r="K33" i="2" s="1"/>
  <c r="J30" i="2"/>
  <c r="J26" i="2"/>
  <c r="K27" i="2" s="1"/>
  <c r="J24" i="2"/>
  <c r="K25" i="2" s="1"/>
  <c r="J21" i="2"/>
  <c r="J19" i="2"/>
  <c r="J12" i="2"/>
  <c r="J10" i="2"/>
  <c r="J51" i="3"/>
  <c r="J49" i="3"/>
  <c r="K50" i="3" s="1"/>
  <c r="J46" i="3"/>
  <c r="K47" i="3" s="1"/>
  <c r="J43" i="3"/>
  <c r="K44" i="3" s="1"/>
  <c r="J36" i="3"/>
  <c r="J34" i="3"/>
  <c r="K35" i="3" s="1"/>
  <c r="J31" i="3"/>
  <c r="K32" i="3" s="1"/>
  <c r="J28" i="3"/>
  <c r="K29" i="3" s="1"/>
  <c r="K31" i="2" l="1"/>
  <c r="J41" i="2"/>
  <c r="J51" i="2"/>
  <c r="K52" i="2" s="1"/>
  <c r="AN52" i="4"/>
  <c r="AR23" i="5" l="1"/>
  <c r="AR22" i="5"/>
  <c r="AR20" i="5"/>
  <c r="AR18" i="5"/>
  <c r="AS74" i="5"/>
  <c r="AS71" i="5"/>
  <c r="AS68" i="5"/>
  <c r="AS58" i="5"/>
  <c r="AS55" i="5"/>
  <c r="AS52" i="5"/>
  <c r="AS22" i="5"/>
  <c r="AS20" i="5"/>
  <c r="AS18" i="5"/>
  <c r="AR12" i="5"/>
  <c r="AW13" i="5" s="1"/>
  <c r="AR11" i="5"/>
  <c r="AR7" i="5"/>
  <c r="AW24" i="5" l="1"/>
  <c r="AS11" i="5"/>
  <c r="AS9" i="5"/>
  <c r="AS7" i="5"/>
  <c r="AS76" i="5"/>
  <c r="AX77" i="5" s="1"/>
  <c r="AS72" i="5"/>
  <c r="J48" i="3" s="1"/>
  <c r="AS69" i="5"/>
  <c r="J45" i="3" s="1"/>
  <c r="AS60" i="5"/>
  <c r="AS56" i="5"/>
  <c r="J33" i="3" s="1"/>
  <c r="AS53" i="5"/>
  <c r="J30" i="3" s="1"/>
  <c r="AS23" i="5"/>
  <c r="AX24" i="5" s="1"/>
  <c r="AS12" i="5"/>
  <c r="AX13" i="5" s="1"/>
  <c r="AM11" i="5"/>
  <c r="AM9" i="5"/>
  <c r="AM7" i="5"/>
  <c r="AM22" i="5"/>
  <c r="AM20" i="5"/>
  <c r="AM18" i="5"/>
  <c r="J37" i="3" l="1"/>
  <c r="K38" i="3" s="1"/>
  <c r="AX61" i="5"/>
  <c r="J52" i="3"/>
  <c r="K53" i="3" s="1"/>
  <c r="AS78" i="5"/>
  <c r="J54" i="3" s="1"/>
  <c r="AS62" i="5"/>
  <c r="J39" i="3" s="1"/>
  <c r="J42" i="3"/>
  <c r="J27" i="3"/>
  <c r="J16" i="3"/>
  <c r="J66" i="2"/>
  <c r="J69" i="2" s="1"/>
  <c r="AO89" i="4"/>
  <c r="J87" i="2" s="1"/>
  <c r="AO78" i="4"/>
  <c r="J43" i="2" l="1"/>
  <c r="AO53" i="4"/>
  <c r="J23" i="3"/>
  <c r="K24" i="3" s="1"/>
  <c r="J12" i="3"/>
  <c r="K13" i="3" s="1"/>
  <c r="AO11" i="4"/>
  <c r="J11" i="2" s="1"/>
  <c r="AO7" i="4"/>
  <c r="AO48" i="4"/>
  <c r="AO46" i="4"/>
  <c r="J46" i="2" s="1"/>
  <c r="AO44" i="4"/>
  <c r="J44" i="2" s="1"/>
  <c r="AO42" i="4"/>
  <c r="J42" i="2" s="1"/>
  <c r="AO38" i="4"/>
  <c r="J38" i="2" s="1"/>
  <c r="AO36" i="4"/>
  <c r="J36" i="2" s="1"/>
  <c r="AO33" i="4"/>
  <c r="AO31" i="4"/>
  <c r="AO27" i="4"/>
  <c r="AO25" i="4"/>
  <c r="AO22" i="4"/>
  <c r="J22" i="2" s="1"/>
  <c r="AO20" i="4"/>
  <c r="J20" i="2" s="1"/>
  <c r="AO17" i="4"/>
  <c r="AO15" i="4"/>
  <c r="AO13" i="4"/>
  <c r="J13" i="2" s="1"/>
  <c r="AO75" i="4"/>
  <c r="AO87" i="4"/>
  <c r="J86" i="2" s="1"/>
  <c r="AO83" i="4" l="1"/>
  <c r="AO79" i="4"/>
  <c r="J53" i="2"/>
  <c r="K54" i="2" s="1"/>
  <c r="AQ54" i="4"/>
  <c r="AO23" i="4"/>
  <c r="J8" i="2"/>
  <c r="AO18" i="4"/>
  <c r="AO34" i="4"/>
  <c r="J34" i="2" s="1"/>
  <c r="AO9" i="4"/>
  <c r="J9" i="2" s="1"/>
  <c r="J11" i="1" l="1"/>
  <c r="J65" i="1" l="1"/>
  <c r="J61" i="1"/>
  <c r="J59" i="1"/>
  <c r="J57" i="1"/>
  <c r="J51" i="1"/>
  <c r="J47" i="1"/>
  <c r="J45" i="1"/>
  <c r="J35" i="1"/>
  <c r="J33" i="1"/>
  <c r="J31" i="1"/>
  <c r="J22" i="1"/>
  <c r="J19" i="1"/>
  <c r="J17" i="1"/>
  <c r="J15" i="1"/>
  <c r="J13" i="1"/>
  <c r="J9" i="1"/>
  <c r="J77" i="2"/>
  <c r="J16" i="2"/>
  <c r="K17" i="2" s="1"/>
  <c r="J71" i="1" l="1"/>
  <c r="K72" i="1" s="1"/>
  <c r="K23" i="1"/>
  <c r="J18" i="2"/>
  <c r="J74" i="2"/>
  <c r="J91" i="2"/>
  <c r="J14" i="2"/>
  <c r="K15" i="2" s="1"/>
  <c r="J70" i="2"/>
  <c r="J23" i="2"/>
  <c r="AQ22" i="5"/>
  <c r="AQ20" i="5"/>
  <c r="AQ18" i="5"/>
  <c r="AQ11" i="5"/>
  <c r="AQ9" i="5"/>
  <c r="AQ7" i="5"/>
  <c r="J82" i="2" l="1"/>
  <c r="J78" i="2"/>
  <c r="AN23" i="4"/>
  <c r="AN36" i="4"/>
  <c r="AN42" i="4" l="1"/>
  <c r="AN38" i="4"/>
  <c r="AN34" i="4"/>
  <c r="AN33" i="4"/>
  <c r="AN31" i="4"/>
  <c r="AN27" i="4"/>
  <c r="AN25" i="4"/>
  <c r="AN22" i="4"/>
  <c r="AN20" i="4"/>
  <c r="AN18" i="4"/>
  <c r="AN17" i="4"/>
  <c r="AN15" i="4"/>
  <c r="AN13" i="4"/>
  <c r="AN11" i="4"/>
  <c r="AN9" i="4"/>
  <c r="AN44" i="4"/>
  <c r="AN46" i="4"/>
  <c r="AN48" i="4"/>
  <c r="AN54" i="4"/>
  <c r="AN57" i="4"/>
  <c r="AN59" i="4"/>
  <c r="AN7" i="4"/>
  <c r="AP75" i="5"/>
  <c r="AP74" i="5"/>
  <c r="AP72" i="5"/>
  <c r="AP71" i="5"/>
  <c r="AP69" i="5"/>
  <c r="AP68" i="5"/>
  <c r="AP62" i="5"/>
  <c r="AP56" i="5"/>
  <c r="AP59" i="5"/>
  <c r="AP58" i="5"/>
  <c r="AP53" i="5"/>
  <c r="AP55" i="5"/>
  <c r="AP52" i="5"/>
  <c r="AP22" i="5"/>
  <c r="AP20" i="5"/>
  <c r="AP18" i="5"/>
  <c r="AP11" i="5"/>
  <c r="AP9" i="5"/>
  <c r="AP7" i="5"/>
  <c r="AO9" i="5"/>
  <c r="AO23" i="5" l="1"/>
  <c r="AT24" i="5" s="1"/>
  <c r="AO22" i="5"/>
  <c r="AO20" i="5"/>
  <c r="AO18" i="5"/>
  <c r="AO12" i="5"/>
  <c r="AT13" i="5" s="1"/>
  <c r="AO11" i="5"/>
  <c r="AO7" i="5"/>
  <c r="AM18" i="4"/>
  <c r="I49" i="3" l="1"/>
  <c r="J50" i="3" s="1"/>
  <c r="I46" i="3"/>
  <c r="J47" i="3" s="1"/>
  <c r="I43" i="3"/>
  <c r="J44" i="3" s="1"/>
  <c r="I42" i="3"/>
  <c r="I34" i="3"/>
  <c r="J35" i="3" s="1"/>
  <c r="I31" i="3"/>
  <c r="J32" i="3" s="1"/>
  <c r="I28" i="3"/>
  <c r="J29" i="3" s="1"/>
  <c r="I27" i="3"/>
  <c r="I21" i="3"/>
  <c r="J22" i="3" s="1"/>
  <c r="I19" i="3"/>
  <c r="J20" i="3" s="1"/>
  <c r="I17" i="3"/>
  <c r="J18" i="3" s="1"/>
  <c r="I16" i="3"/>
  <c r="I10" i="3"/>
  <c r="J11" i="3" s="1"/>
  <c r="I8" i="3"/>
  <c r="J9" i="3" s="1"/>
  <c r="I6" i="3"/>
  <c r="J7" i="3" s="1"/>
  <c r="I95" i="2"/>
  <c r="I93" i="2"/>
  <c r="I90" i="2"/>
  <c r="I89" i="2"/>
  <c r="I87" i="2"/>
  <c r="I80" i="2"/>
  <c r="I76" i="2"/>
  <c r="I75" i="2"/>
  <c r="I73" i="2"/>
  <c r="I72" i="2"/>
  <c r="I68" i="2"/>
  <c r="I66" i="2"/>
  <c r="I65" i="2"/>
  <c r="I64" i="2"/>
  <c r="I49" i="2"/>
  <c r="J50" i="2" s="1"/>
  <c r="AM53" i="4"/>
  <c r="AM34" i="4"/>
  <c r="I34" i="2" s="1"/>
  <c r="AK53" i="4"/>
  <c r="I43" i="2"/>
  <c r="AM51" i="4"/>
  <c r="I21" i="2"/>
  <c r="I19" i="2"/>
  <c r="I37" i="2"/>
  <c r="I47" i="2"/>
  <c r="J48" i="2" s="1"/>
  <c r="I45" i="2"/>
  <c r="I35" i="2"/>
  <c r="I32" i="2"/>
  <c r="J33" i="2" s="1"/>
  <c r="I30" i="2"/>
  <c r="I26" i="2"/>
  <c r="J27" i="2" s="1"/>
  <c r="I24" i="2"/>
  <c r="J25" i="2" s="1"/>
  <c r="H24" i="2"/>
  <c r="I12" i="2"/>
  <c r="I10" i="2"/>
  <c r="AM48" i="4"/>
  <c r="I48" i="2" s="1"/>
  <c r="AM46" i="4"/>
  <c r="I46" i="2" s="1"/>
  <c r="AM44" i="4"/>
  <c r="I44" i="2" s="1"/>
  <c r="AM38" i="4"/>
  <c r="I38" i="2" s="1"/>
  <c r="AM36" i="4"/>
  <c r="I36" i="2" s="1"/>
  <c r="AM27" i="4"/>
  <c r="AM25" i="4"/>
  <c r="AM22" i="4"/>
  <c r="AM20" i="4"/>
  <c r="I20" i="2" s="1"/>
  <c r="AM13" i="4"/>
  <c r="I13" i="2" s="1"/>
  <c r="AM7" i="4"/>
  <c r="AM9" i="4"/>
  <c r="I9" i="2" s="1"/>
  <c r="AM11" i="4"/>
  <c r="I11" i="2" s="1"/>
  <c r="I8" i="2"/>
  <c r="AM87" i="4"/>
  <c r="I86" i="2" s="1"/>
  <c r="AM75" i="4"/>
  <c r="J31" i="2" l="1"/>
  <c r="I41" i="2"/>
  <c r="I69" i="2"/>
  <c r="I70" i="2" s="1"/>
  <c r="AM83" i="4"/>
  <c r="AM79" i="4"/>
  <c r="AO52" i="4"/>
  <c r="I14" i="2"/>
  <c r="I53" i="2"/>
  <c r="AO54" i="4"/>
  <c r="I25" i="2"/>
  <c r="I22" i="2"/>
  <c r="I23" i="3"/>
  <c r="J24" i="3" s="1"/>
  <c r="I12" i="3"/>
  <c r="J13" i="3" s="1"/>
  <c r="AM54" i="4"/>
  <c r="I51" i="2"/>
  <c r="AM58" i="4"/>
  <c r="AM56" i="4"/>
  <c r="AH69" i="5"/>
  <c r="AN68" i="5"/>
  <c r="AN58" i="5"/>
  <c r="AN55" i="5"/>
  <c r="AN53" i="5"/>
  <c r="I30" i="3" s="1"/>
  <c r="AN52" i="5"/>
  <c r="AN20" i="5"/>
  <c r="AN18" i="5"/>
  <c r="AN76" i="5"/>
  <c r="AS77" i="5" s="1"/>
  <c r="AN75" i="5"/>
  <c r="I51" i="3" s="1"/>
  <c r="AN74" i="5"/>
  <c r="AN72" i="5"/>
  <c r="I48" i="3" s="1"/>
  <c r="AN71" i="5"/>
  <c r="AN69" i="5"/>
  <c r="I45" i="3" s="1"/>
  <c r="AN60" i="5"/>
  <c r="AN59" i="5"/>
  <c r="I36" i="3" s="1"/>
  <c r="AN56" i="5"/>
  <c r="I33" i="3" s="1"/>
  <c r="AN23" i="5"/>
  <c r="AN22" i="5"/>
  <c r="AN12" i="5"/>
  <c r="AN11" i="5"/>
  <c r="AN9" i="5"/>
  <c r="AN7" i="5"/>
  <c r="I13" i="8"/>
  <c r="I4" i="8"/>
  <c r="I91" i="2"/>
  <c r="I77" i="2"/>
  <c r="I74" i="2"/>
  <c r="I16" i="2"/>
  <c r="I65" i="1"/>
  <c r="I63" i="1"/>
  <c r="I61" i="1"/>
  <c r="I59" i="1"/>
  <c r="I57" i="1"/>
  <c r="I55" i="1"/>
  <c r="I51" i="1"/>
  <c r="I49" i="1"/>
  <c r="I47" i="1"/>
  <c r="I45" i="1"/>
  <c r="I68" i="1"/>
  <c r="I40" i="1"/>
  <c r="I39" i="1"/>
  <c r="I37" i="1"/>
  <c r="I35" i="1"/>
  <c r="I33" i="1"/>
  <c r="I31" i="1"/>
  <c r="I29" i="1"/>
  <c r="I27" i="1"/>
  <c r="I19" i="1"/>
  <c r="I17" i="1"/>
  <c r="I15" i="1"/>
  <c r="I13" i="1"/>
  <c r="I11" i="1"/>
  <c r="I9" i="1"/>
  <c r="I22" i="1"/>
  <c r="J23" i="1" s="1"/>
  <c r="I78" i="2" l="1"/>
  <c r="AO57" i="4"/>
  <c r="AO59" i="4"/>
  <c r="AS24" i="5"/>
  <c r="AS13" i="5"/>
  <c r="J52" i="2"/>
  <c r="I18" i="2"/>
  <c r="J17" i="2"/>
  <c r="J15" i="2"/>
  <c r="J54" i="2"/>
  <c r="I37" i="3"/>
  <c r="J38" i="3" s="1"/>
  <c r="AS61" i="5"/>
  <c r="I71" i="1"/>
  <c r="I6" i="2" s="1"/>
  <c r="I52" i="3"/>
  <c r="J53" i="3" s="1"/>
  <c r="I56" i="2"/>
  <c r="I58" i="2"/>
  <c r="AN62" i="5"/>
  <c r="I39" i="3" s="1"/>
  <c r="AN78" i="5"/>
  <c r="I54" i="3" s="1"/>
  <c r="I82" i="2"/>
  <c r="I23" i="2"/>
  <c r="AL23" i="5"/>
  <c r="AQ24" i="5" s="1"/>
  <c r="AL12" i="5"/>
  <c r="AQ13" i="5" s="1"/>
  <c r="AL22" i="5"/>
  <c r="AL20" i="5"/>
  <c r="AL18" i="5"/>
  <c r="AL11" i="5"/>
  <c r="AL9" i="5"/>
  <c r="AL7" i="5"/>
  <c r="C4" i="8"/>
  <c r="D4" i="8"/>
  <c r="E4" i="8"/>
  <c r="F4" i="8"/>
  <c r="G4" i="8"/>
  <c r="H4" i="8"/>
  <c r="B4" i="8"/>
  <c r="H13" i="8"/>
  <c r="G13" i="8"/>
  <c r="F13" i="8"/>
  <c r="E13" i="8"/>
  <c r="D13" i="8"/>
  <c r="C13" i="8"/>
  <c r="B13" i="8"/>
  <c r="AL85" i="4"/>
  <c r="AK71" i="5"/>
  <c r="AK59" i="5"/>
  <c r="AK9" i="5"/>
  <c r="AB81" i="4"/>
  <c r="AB77" i="4"/>
  <c r="AB76" i="4"/>
  <c r="AB74" i="4"/>
  <c r="AB73" i="4"/>
  <c r="AB64" i="4"/>
  <c r="AB71" i="4" s="1"/>
  <c r="AB55" i="4"/>
  <c r="AB21" i="4"/>
  <c r="V90" i="4"/>
  <c r="V55" i="4"/>
  <c r="C50" i="3"/>
  <c r="C47" i="3"/>
  <c r="C44" i="3"/>
  <c r="C35" i="3"/>
  <c r="C32" i="3"/>
  <c r="C29" i="3"/>
  <c r="G65" i="1"/>
  <c r="G61" i="1"/>
  <c r="G57" i="1"/>
  <c r="G51" i="1"/>
  <c r="G49" i="1"/>
  <c r="G47" i="1"/>
  <c r="G45" i="1"/>
  <c r="G40" i="1"/>
  <c r="G37" i="1"/>
  <c r="G35" i="1"/>
  <c r="G33" i="1"/>
  <c r="G31" i="1"/>
  <c r="G29" i="1"/>
  <c r="H27" i="1"/>
  <c r="G22" i="1"/>
  <c r="G17" i="1"/>
  <c r="G13" i="1"/>
  <c r="G11" i="1"/>
  <c r="G9" i="1"/>
  <c r="AB52" i="5"/>
  <c r="G6" i="3"/>
  <c r="G93" i="2"/>
  <c r="G90" i="2"/>
  <c r="G89" i="2"/>
  <c r="G87" i="2"/>
  <c r="AE81" i="4"/>
  <c r="G80" i="2" s="1"/>
  <c r="AE77" i="4"/>
  <c r="G76" i="2" s="1"/>
  <c r="AE74" i="4"/>
  <c r="G73" i="2" s="1"/>
  <c r="AE73" i="4"/>
  <c r="G72" i="2" s="1"/>
  <c r="G68" i="2"/>
  <c r="G66" i="2"/>
  <c r="AE64" i="4"/>
  <c r="G43" i="2"/>
  <c r="G35" i="2"/>
  <c r="AE27" i="4"/>
  <c r="AJ27" i="4"/>
  <c r="G24" i="2"/>
  <c r="AD25" i="4"/>
  <c r="G21" i="2"/>
  <c r="AD20" i="4"/>
  <c r="G10" i="2"/>
  <c r="AD9" i="4"/>
  <c r="AB94" i="4"/>
  <c r="AB90" i="4"/>
  <c r="AB89" i="4"/>
  <c r="AB87" i="4"/>
  <c r="Z75" i="4"/>
  <c r="AB47" i="4"/>
  <c r="AB43" i="4"/>
  <c r="AB24" i="4"/>
  <c r="AB10" i="4"/>
  <c r="H65" i="1"/>
  <c r="H63" i="1"/>
  <c r="H59" i="1"/>
  <c r="H57" i="1"/>
  <c r="H55" i="1"/>
  <c r="H51" i="1"/>
  <c r="H45" i="1"/>
  <c r="H33" i="1"/>
  <c r="H31" i="1"/>
  <c r="H19" i="1"/>
  <c r="H15" i="1"/>
  <c r="H13" i="1"/>
  <c r="H11" i="1"/>
  <c r="H9" i="1"/>
  <c r="H42" i="3"/>
  <c r="H27" i="3"/>
  <c r="H16" i="3"/>
  <c r="AI22" i="5"/>
  <c r="AG75" i="5"/>
  <c r="AG12" i="5"/>
  <c r="AE71" i="5"/>
  <c r="AE68" i="5"/>
  <c r="AI78" i="4"/>
  <c r="AI75" i="4"/>
  <c r="AI50" i="4"/>
  <c r="AH76" i="4"/>
  <c r="AH73" i="4"/>
  <c r="AH64" i="4"/>
  <c r="AH71" i="4" s="1"/>
  <c r="AG46" i="4"/>
  <c r="AH10" i="4"/>
  <c r="AL11" i="4" s="1"/>
  <c r="H93" i="2"/>
  <c r="H90" i="2"/>
  <c r="H89" i="2"/>
  <c r="H49" i="2"/>
  <c r="H21" i="2"/>
  <c r="H19" i="2"/>
  <c r="H12" i="2"/>
  <c r="AK14" i="4"/>
  <c r="AM15" i="4" s="1"/>
  <c r="AK76" i="4"/>
  <c r="H75" i="2" s="1"/>
  <c r="AK74" i="4"/>
  <c r="H73" i="2" s="1"/>
  <c r="AK73" i="4"/>
  <c r="H72" i="2" s="1"/>
  <c r="H68" i="2"/>
  <c r="H66" i="2"/>
  <c r="AK64" i="4"/>
  <c r="AF16" i="4"/>
  <c r="AH26" i="4"/>
  <c r="AF36" i="4"/>
  <c r="AF62" i="4"/>
  <c r="AF78" i="4"/>
  <c r="AF85" i="4"/>
  <c r="Y76" i="5"/>
  <c r="Y75" i="5"/>
  <c r="Y72" i="5"/>
  <c r="Y69" i="5"/>
  <c r="Y60" i="5"/>
  <c r="Y59" i="5"/>
  <c r="Y56" i="5"/>
  <c r="Y53" i="5"/>
  <c r="Y23" i="5"/>
  <c r="Y12" i="5"/>
  <c r="AA92" i="4"/>
  <c r="AA96" i="4" s="1"/>
  <c r="AA78" i="4"/>
  <c r="AB78" i="4" s="1"/>
  <c r="AA75" i="4"/>
  <c r="AA53" i="4"/>
  <c r="AA23" i="4"/>
  <c r="AA16" i="4"/>
  <c r="AA18" i="4" s="1"/>
  <c r="AA14" i="4"/>
  <c r="AA30" i="4" s="1"/>
  <c r="J57" i="4"/>
  <c r="I57" i="4"/>
  <c r="M59" i="4"/>
  <c r="J59" i="4"/>
  <c r="I59" i="4"/>
  <c r="M54" i="4"/>
  <c r="J54" i="4"/>
  <c r="I54" i="4"/>
  <c r="H54" i="4"/>
  <c r="M52" i="4"/>
  <c r="J52" i="4"/>
  <c r="I52" i="4"/>
  <c r="H52" i="4"/>
  <c r="Q50" i="4"/>
  <c r="P50" i="4"/>
  <c r="O50" i="4"/>
  <c r="M50" i="4"/>
  <c r="J50" i="4"/>
  <c r="I50" i="4"/>
  <c r="H50" i="4"/>
  <c r="Q48" i="4"/>
  <c r="P48" i="4"/>
  <c r="O48" i="4"/>
  <c r="M48" i="4"/>
  <c r="J48" i="4"/>
  <c r="I48" i="4"/>
  <c r="H48" i="4"/>
  <c r="Q46" i="4"/>
  <c r="P46" i="4"/>
  <c r="O46" i="4"/>
  <c r="M46" i="4"/>
  <c r="J46" i="4"/>
  <c r="I46" i="4"/>
  <c r="H46" i="4"/>
  <c r="Q44" i="4"/>
  <c r="P44" i="4"/>
  <c r="O44" i="4"/>
  <c r="M44" i="4"/>
  <c r="J44" i="4"/>
  <c r="I44" i="4"/>
  <c r="H44" i="4"/>
  <c r="Q38" i="4"/>
  <c r="P38" i="4"/>
  <c r="O38" i="4"/>
  <c r="M38" i="4"/>
  <c r="J38" i="4"/>
  <c r="I38" i="4"/>
  <c r="H38" i="4"/>
  <c r="Q36" i="4"/>
  <c r="P36" i="4"/>
  <c r="O36" i="4"/>
  <c r="M36" i="4"/>
  <c r="J36" i="4"/>
  <c r="I36" i="4"/>
  <c r="H36" i="4"/>
  <c r="Q27" i="4"/>
  <c r="P27" i="4"/>
  <c r="O27" i="4"/>
  <c r="M27" i="4"/>
  <c r="J27" i="4"/>
  <c r="I27" i="4"/>
  <c r="H27" i="4"/>
  <c r="Q25" i="4"/>
  <c r="P25" i="4"/>
  <c r="O25" i="4"/>
  <c r="M25" i="4"/>
  <c r="J25" i="4"/>
  <c r="I25" i="4"/>
  <c r="H25" i="4"/>
  <c r="Q22" i="4"/>
  <c r="P22" i="4"/>
  <c r="O22" i="4"/>
  <c r="M22" i="4"/>
  <c r="J22" i="4"/>
  <c r="I22" i="4"/>
  <c r="H22" i="4"/>
  <c r="Q20" i="4"/>
  <c r="P20" i="4"/>
  <c r="O20" i="4"/>
  <c r="M20" i="4"/>
  <c r="J20" i="4"/>
  <c r="I20" i="4"/>
  <c r="H20" i="4"/>
  <c r="Q13" i="4"/>
  <c r="P13" i="4"/>
  <c r="O13" i="4"/>
  <c r="M13" i="4"/>
  <c r="J13" i="4"/>
  <c r="I13" i="4"/>
  <c r="H13" i="4"/>
  <c r="Q11" i="4"/>
  <c r="P11" i="4"/>
  <c r="O11" i="4"/>
  <c r="M11" i="4"/>
  <c r="J11" i="4"/>
  <c r="I11" i="4"/>
  <c r="H11" i="4"/>
  <c r="Q9" i="4"/>
  <c r="P9" i="4"/>
  <c r="O9" i="4"/>
  <c r="M9" i="4"/>
  <c r="J9" i="4"/>
  <c r="I9" i="4"/>
  <c r="H9" i="4"/>
  <c r="O7" i="4"/>
  <c r="P7" i="4"/>
  <c r="Q7" i="4"/>
  <c r="M7" i="4"/>
  <c r="I7" i="4"/>
  <c r="J7" i="4"/>
  <c r="H7" i="4"/>
  <c r="AM12" i="5"/>
  <c r="AR13" i="5" s="1"/>
  <c r="AM23" i="5"/>
  <c r="AR24" i="5" s="1"/>
  <c r="AJ18" i="5"/>
  <c r="AD26" i="5"/>
  <c r="AD37" i="5" s="1"/>
  <c r="Z73" i="5"/>
  <c r="AF74" i="5" s="1"/>
  <c r="Z67" i="5"/>
  <c r="AF68" i="5" s="1"/>
  <c r="Z54" i="5"/>
  <c r="AF55" i="5" s="1"/>
  <c r="Z51" i="5"/>
  <c r="Z19" i="5"/>
  <c r="Z8" i="5"/>
  <c r="AD7" i="5"/>
  <c r="Z6" i="5"/>
  <c r="D23" i="4"/>
  <c r="E23" i="4"/>
  <c r="F23" i="4"/>
  <c r="H23" i="4"/>
  <c r="I23" i="4"/>
  <c r="J23" i="4"/>
  <c r="M23" i="4"/>
  <c r="O23" i="4"/>
  <c r="P23" i="4"/>
  <c r="Q23" i="4"/>
  <c r="S23" i="4"/>
  <c r="C23" i="4"/>
  <c r="D23" i="2"/>
  <c r="C23" i="2"/>
  <c r="B23" i="2"/>
  <c r="N81" i="4"/>
  <c r="E80" i="2" s="1"/>
  <c r="N77" i="4"/>
  <c r="E76" i="2" s="1"/>
  <c r="N76" i="4"/>
  <c r="E75" i="2" s="1"/>
  <c r="N74" i="4"/>
  <c r="E73" i="2" s="1"/>
  <c r="N73" i="4"/>
  <c r="E72" i="2" s="1"/>
  <c r="E68" i="2"/>
  <c r="E66" i="2"/>
  <c r="E65" i="2"/>
  <c r="N64" i="4"/>
  <c r="G28" i="3"/>
  <c r="D68" i="1"/>
  <c r="D69" i="1" s="1"/>
  <c r="E68" i="1"/>
  <c r="F68" i="1"/>
  <c r="C72" i="1"/>
  <c r="C69" i="1"/>
  <c r="C41" i="1"/>
  <c r="C23" i="1"/>
  <c r="F65" i="1"/>
  <c r="E65" i="1"/>
  <c r="D65" i="1"/>
  <c r="C65" i="1"/>
  <c r="F63" i="1"/>
  <c r="E63" i="1"/>
  <c r="D63" i="1"/>
  <c r="C63" i="1"/>
  <c r="F61" i="1"/>
  <c r="E61" i="1"/>
  <c r="D61" i="1"/>
  <c r="C61" i="1"/>
  <c r="F59" i="1"/>
  <c r="E59" i="1"/>
  <c r="D59" i="1"/>
  <c r="C59" i="1"/>
  <c r="F57" i="1"/>
  <c r="E57" i="1"/>
  <c r="D57" i="1"/>
  <c r="C57" i="1"/>
  <c r="F55" i="1"/>
  <c r="E55" i="1"/>
  <c r="D55" i="1"/>
  <c r="C55" i="1"/>
  <c r="C53" i="1"/>
  <c r="F51" i="1"/>
  <c r="E51" i="1"/>
  <c r="D51" i="1"/>
  <c r="C51" i="1"/>
  <c r="F49" i="1"/>
  <c r="E49" i="1"/>
  <c r="D49" i="1"/>
  <c r="C49" i="1"/>
  <c r="F47" i="1"/>
  <c r="E47" i="1"/>
  <c r="D47" i="1"/>
  <c r="C47" i="1"/>
  <c r="F45" i="1"/>
  <c r="E45" i="1"/>
  <c r="D45" i="1"/>
  <c r="C45" i="1"/>
  <c r="F39" i="1"/>
  <c r="E39" i="1"/>
  <c r="D39" i="1"/>
  <c r="C39" i="1"/>
  <c r="F37" i="1"/>
  <c r="E37" i="1"/>
  <c r="D37" i="1"/>
  <c r="C37" i="1"/>
  <c r="F35" i="1"/>
  <c r="E35" i="1"/>
  <c r="D35" i="1"/>
  <c r="C35" i="1"/>
  <c r="F33" i="1"/>
  <c r="E33" i="1"/>
  <c r="D33" i="1"/>
  <c r="C33" i="1"/>
  <c r="F31" i="1"/>
  <c r="E31" i="1"/>
  <c r="D31" i="1"/>
  <c r="C31" i="1"/>
  <c r="F29" i="1"/>
  <c r="E29" i="1"/>
  <c r="D29" i="1"/>
  <c r="C29" i="1"/>
  <c r="F27" i="1"/>
  <c r="E27" i="1"/>
  <c r="D27" i="1"/>
  <c r="C27" i="1"/>
  <c r="F19" i="1"/>
  <c r="E19" i="1"/>
  <c r="D19" i="1"/>
  <c r="C19" i="1"/>
  <c r="F17" i="1"/>
  <c r="E17" i="1"/>
  <c r="D17" i="1"/>
  <c r="C17" i="1"/>
  <c r="F15" i="1"/>
  <c r="E15" i="1"/>
  <c r="D15" i="1"/>
  <c r="C15" i="1"/>
  <c r="F13" i="1"/>
  <c r="E13" i="1"/>
  <c r="D13" i="1"/>
  <c r="C13" i="1"/>
  <c r="F11" i="1"/>
  <c r="E11" i="1"/>
  <c r="D11" i="1"/>
  <c r="C11" i="1"/>
  <c r="C9" i="1"/>
  <c r="D9" i="1"/>
  <c r="E9" i="1"/>
  <c r="F9" i="1"/>
  <c r="G42" i="3"/>
  <c r="G27" i="3"/>
  <c r="G16" i="3"/>
  <c r="T62" i="4"/>
  <c r="T85" i="4" s="1"/>
  <c r="E46" i="3"/>
  <c r="E49" i="3"/>
  <c r="E43" i="3"/>
  <c r="D45" i="3"/>
  <c r="D46" i="3"/>
  <c r="D47" i="3" s="1"/>
  <c r="D48" i="3"/>
  <c r="D49" i="3"/>
  <c r="D51" i="3"/>
  <c r="D52" i="3"/>
  <c r="D54" i="3"/>
  <c r="D43" i="3"/>
  <c r="D30" i="3"/>
  <c r="D31" i="3"/>
  <c r="D32" i="3" s="1"/>
  <c r="D33" i="3"/>
  <c r="D34" i="3"/>
  <c r="D35" i="3" s="1"/>
  <c r="D36" i="3"/>
  <c r="D37" i="3"/>
  <c r="D39" i="3"/>
  <c r="D28" i="3"/>
  <c r="D29" i="3" s="1"/>
  <c r="S37" i="5"/>
  <c r="F26" i="2"/>
  <c r="H55" i="5"/>
  <c r="B73" i="5"/>
  <c r="B70" i="5"/>
  <c r="B67" i="5"/>
  <c r="B57" i="5"/>
  <c r="F42" i="3"/>
  <c r="E42" i="3"/>
  <c r="D42" i="3"/>
  <c r="C42" i="3"/>
  <c r="B42" i="3"/>
  <c r="F27" i="3"/>
  <c r="E27" i="3"/>
  <c r="D27" i="3"/>
  <c r="C27" i="3"/>
  <c r="B27" i="3"/>
  <c r="F16" i="3"/>
  <c r="E16" i="3"/>
  <c r="D16" i="3"/>
  <c r="C16" i="3"/>
  <c r="B16" i="3"/>
  <c r="B21" i="5"/>
  <c r="B19" i="5"/>
  <c r="B17" i="5"/>
  <c r="R76" i="5"/>
  <c r="Q60" i="5"/>
  <c r="R60" i="5"/>
  <c r="Q22" i="5"/>
  <c r="Q20" i="5"/>
  <c r="Q18" i="5"/>
  <c r="Q23" i="5"/>
  <c r="Q78" i="5" s="1"/>
  <c r="R23" i="5"/>
  <c r="Q58" i="5"/>
  <c r="Q59" i="5"/>
  <c r="R59" i="5"/>
  <c r="Q74" i="5"/>
  <c r="Q75" i="5"/>
  <c r="R75" i="5"/>
  <c r="Q71" i="5"/>
  <c r="Q72" i="5"/>
  <c r="R72" i="5"/>
  <c r="Q69" i="5"/>
  <c r="R69" i="5"/>
  <c r="Q68" i="5"/>
  <c r="V87" i="4"/>
  <c r="R45" i="4"/>
  <c r="R46" i="4" s="1"/>
  <c r="P76" i="5"/>
  <c r="O76" i="5"/>
  <c r="N76" i="5"/>
  <c r="M76" i="5"/>
  <c r="M77" i="5" s="1"/>
  <c r="K76" i="5"/>
  <c r="Q77" i="5" s="1"/>
  <c r="J76" i="5"/>
  <c r="I76" i="5"/>
  <c r="I77" i="5" s="1"/>
  <c r="H76" i="5"/>
  <c r="H77" i="5" s="1"/>
  <c r="P75" i="5"/>
  <c r="O75" i="5"/>
  <c r="N75" i="5"/>
  <c r="K75" i="5"/>
  <c r="J75" i="5"/>
  <c r="I75" i="5"/>
  <c r="H75" i="5"/>
  <c r="P74" i="5"/>
  <c r="O74" i="5"/>
  <c r="N74" i="5"/>
  <c r="K74" i="5"/>
  <c r="I74" i="5"/>
  <c r="H74" i="5"/>
  <c r="W74" i="5"/>
  <c r="V75" i="5"/>
  <c r="Y74" i="5"/>
  <c r="L73" i="5"/>
  <c r="M74" i="5"/>
  <c r="P72" i="5"/>
  <c r="O72" i="5"/>
  <c r="N72" i="5"/>
  <c r="K72" i="5"/>
  <c r="J72" i="5"/>
  <c r="I72" i="5"/>
  <c r="H72" i="5"/>
  <c r="P71" i="5"/>
  <c r="O71" i="5"/>
  <c r="N71" i="5"/>
  <c r="K71" i="5"/>
  <c r="J71" i="5"/>
  <c r="I71" i="5"/>
  <c r="H71" i="5"/>
  <c r="Y71" i="5"/>
  <c r="S76" i="5"/>
  <c r="L70" i="5"/>
  <c r="M71" i="5"/>
  <c r="P69" i="5"/>
  <c r="O69" i="5"/>
  <c r="N69" i="5"/>
  <c r="K69" i="5"/>
  <c r="J69" i="5"/>
  <c r="I69" i="5"/>
  <c r="H69" i="5"/>
  <c r="P68" i="5"/>
  <c r="O68" i="5"/>
  <c r="N68" i="5"/>
  <c r="M68" i="5"/>
  <c r="K68" i="5"/>
  <c r="J68" i="5"/>
  <c r="I68" i="5"/>
  <c r="H68" i="5"/>
  <c r="S69" i="5"/>
  <c r="L67" i="5"/>
  <c r="L68" i="5" s="1"/>
  <c r="P60" i="5"/>
  <c r="O60" i="5"/>
  <c r="N60" i="5"/>
  <c r="K60" i="5"/>
  <c r="K61" i="5" s="1"/>
  <c r="J60" i="5"/>
  <c r="J61" i="5" s="1"/>
  <c r="I60" i="5"/>
  <c r="I61" i="5" s="1"/>
  <c r="H60" i="5"/>
  <c r="H61" i="5" s="1"/>
  <c r="P59" i="5"/>
  <c r="O59" i="5"/>
  <c r="N59" i="5"/>
  <c r="K59" i="5"/>
  <c r="J59" i="5"/>
  <c r="I59" i="5"/>
  <c r="H59" i="5"/>
  <c r="P58" i="5"/>
  <c r="O58" i="5"/>
  <c r="N58" i="5"/>
  <c r="K58" i="5"/>
  <c r="J58" i="5"/>
  <c r="I58" i="5"/>
  <c r="H58" i="5"/>
  <c r="L57" i="5"/>
  <c r="P56" i="5"/>
  <c r="O56" i="5"/>
  <c r="N56" i="5"/>
  <c r="K56" i="5"/>
  <c r="J56" i="5"/>
  <c r="I56" i="5"/>
  <c r="H56" i="5"/>
  <c r="P55" i="5"/>
  <c r="O55" i="5"/>
  <c r="N55" i="5"/>
  <c r="K55" i="5"/>
  <c r="J55" i="5"/>
  <c r="I55" i="5"/>
  <c r="F31" i="3"/>
  <c r="U54" i="5"/>
  <c r="AA55" i="5" s="1"/>
  <c r="Y55" i="5"/>
  <c r="L54" i="5"/>
  <c r="L55" i="5" s="1"/>
  <c r="P53" i="5"/>
  <c r="O53" i="5"/>
  <c r="N53" i="5"/>
  <c r="K53" i="5"/>
  <c r="J53" i="5"/>
  <c r="I53" i="5"/>
  <c r="H53" i="5"/>
  <c r="P52" i="5"/>
  <c r="O52" i="5"/>
  <c r="N52" i="5"/>
  <c r="K52" i="5"/>
  <c r="J52" i="5"/>
  <c r="I52" i="5"/>
  <c r="H52" i="5"/>
  <c r="W60" i="5"/>
  <c r="F37" i="3" s="1"/>
  <c r="E28" i="3"/>
  <c r="L51" i="5"/>
  <c r="N37" i="5"/>
  <c r="H37" i="5"/>
  <c r="S26" i="5"/>
  <c r="N26" i="5"/>
  <c r="H26" i="5"/>
  <c r="C26" i="5"/>
  <c r="P23" i="5"/>
  <c r="O23" i="5"/>
  <c r="N23" i="5"/>
  <c r="K23" i="5"/>
  <c r="J23" i="5"/>
  <c r="I23" i="5"/>
  <c r="H23" i="5"/>
  <c r="F23" i="5"/>
  <c r="E23" i="5"/>
  <c r="E24" i="5" s="1"/>
  <c r="D23" i="5"/>
  <c r="D24" i="5" s="1"/>
  <c r="C23" i="5"/>
  <c r="C24" i="5" s="1"/>
  <c r="P22" i="5"/>
  <c r="O22" i="5"/>
  <c r="N22" i="5"/>
  <c r="K22" i="5"/>
  <c r="J22" i="5"/>
  <c r="I22" i="5"/>
  <c r="H22" i="5"/>
  <c r="F22" i="5"/>
  <c r="E22" i="5"/>
  <c r="D22" i="5"/>
  <c r="C22" i="5"/>
  <c r="F21" i="3"/>
  <c r="L21" i="5"/>
  <c r="G21" i="5"/>
  <c r="P20" i="5"/>
  <c r="O20" i="5"/>
  <c r="N20" i="5"/>
  <c r="K20" i="5"/>
  <c r="J20" i="5"/>
  <c r="I20" i="5"/>
  <c r="H20" i="5"/>
  <c r="F20" i="5"/>
  <c r="E20" i="5"/>
  <c r="D20" i="5"/>
  <c r="C20" i="5"/>
  <c r="S56" i="5"/>
  <c r="L19" i="5"/>
  <c r="G19" i="5"/>
  <c r="D19" i="3" s="1"/>
  <c r="P18" i="5"/>
  <c r="O18" i="5"/>
  <c r="N18" i="5"/>
  <c r="K18" i="5"/>
  <c r="J18" i="5"/>
  <c r="I18" i="5"/>
  <c r="H18" i="5"/>
  <c r="F18" i="5"/>
  <c r="E18" i="5"/>
  <c r="D18" i="5"/>
  <c r="C18" i="5"/>
  <c r="L17" i="5"/>
  <c r="R18" i="5" s="1"/>
  <c r="G17" i="5"/>
  <c r="M18" i="5" s="1"/>
  <c r="X26" i="5"/>
  <c r="X37" i="5" s="1"/>
  <c r="R12" i="5"/>
  <c r="P12" i="5"/>
  <c r="O12" i="5"/>
  <c r="N12" i="5"/>
  <c r="K12" i="5"/>
  <c r="J12" i="5"/>
  <c r="I12" i="5"/>
  <c r="H12" i="5"/>
  <c r="F12" i="5"/>
  <c r="F13" i="5" s="1"/>
  <c r="E12" i="5"/>
  <c r="E13" i="5" s="1"/>
  <c r="D12" i="5"/>
  <c r="D13" i="5" s="1"/>
  <c r="C12" i="5"/>
  <c r="P11" i="5"/>
  <c r="O11" i="5"/>
  <c r="N11" i="5"/>
  <c r="K11" i="5"/>
  <c r="J11" i="5"/>
  <c r="I11" i="5"/>
  <c r="H11" i="5"/>
  <c r="F11" i="5"/>
  <c r="E11" i="5"/>
  <c r="D11" i="5"/>
  <c r="C11" i="5"/>
  <c r="F10" i="3"/>
  <c r="V11" i="5"/>
  <c r="Q10" i="5"/>
  <c r="E10" i="3"/>
  <c r="L10" i="5"/>
  <c r="G10" i="5"/>
  <c r="D10" i="3" s="1"/>
  <c r="P9" i="5"/>
  <c r="O9" i="5"/>
  <c r="N9" i="5"/>
  <c r="K9" i="5"/>
  <c r="J9" i="5"/>
  <c r="I9" i="5"/>
  <c r="H9" i="5"/>
  <c r="F9" i="5"/>
  <c r="E9" i="5"/>
  <c r="D9" i="5"/>
  <c r="C9" i="5"/>
  <c r="Q8" i="5"/>
  <c r="L8" i="5"/>
  <c r="R9" i="5" s="1"/>
  <c r="G8" i="5"/>
  <c r="P7" i="5"/>
  <c r="O7" i="5"/>
  <c r="N7" i="5"/>
  <c r="K7" i="5"/>
  <c r="J7" i="5"/>
  <c r="I7" i="5"/>
  <c r="H7" i="5"/>
  <c r="F7" i="5"/>
  <c r="E7" i="5"/>
  <c r="D7" i="5"/>
  <c r="C7" i="5"/>
  <c r="Q6" i="5"/>
  <c r="L6" i="5"/>
  <c r="G6" i="5"/>
  <c r="M7" i="5" s="1"/>
  <c r="R96" i="4"/>
  <c r="F93" i="2"/>
  <c r="S94" i="4"/>
  <c r="E93" i="2"/>
  <c r="L94" i="4"/>
  <c r="G94" i="4"/>
  <c r="X92" i="4"/>
  <c r="X96" i="4" s="1"/>
  <c r="Q92" i="4"/>
  <c r="Q96" i="4" s="1"/>
  <c r="P92" i="4"/>
  <c r="P96" i="4" s="1"/>
  <c r="O92" i="4"/>
  <c r="O96" i="4" s="1"/>
  <c r="M92" i="4"/>
  <c r="M96" i="4" s="1"/>
  <c r="J92" i="4"/>
  <c r="J96" i="4" s="1"/>
  <c r="I92" i="4"/>
  <c r="I96" i="4" s="1"/>
  <c r="H92" i="4"/>
  <c r="F92" i="4"/>
  <c r="E92" i="4"/>
  <c r="E96" i="4" s="1"/>
  <c r="D92" i="4"/>
  <c r="D96" i="4" s="1"/>
  <c r="C92" i="4"/>
  <c r="C96" i="4" s="1"/>
  <c r="E90" i="2"/>
  <c r="L91" i="4"/>
  <c r="G91" i="4"/>
  <c r="F89" i="2"/>
  <c r="S90" i="4"/>
  <c r="E89" i="2"/>
  <c r="L90" i="4"/>
  <c r="F87" i="2"/>
  <c r="S89" i="4"/>
  <c r="E87" i="2"/>
  <c r="L89" i="4"/>
  <c r="G89" i="4"/>
  <c r="F86" i="2"/>
  <c r="L87" i="4"/>
  <c r="G87" i="4"/>
  <c r="S83" i="4"/>
  <c r="Y81" i="4"/>
  <c r="F80" i="2" s="1"/>
  <c r="V81" i="4"/>
  <c r="S81" i="4"/>
  <c r="L81" i="4"/>
  <c r="G81" i="4"/>
  <c r="Q78" i="4"/>
  <c r="P78" i="4"/>
  <c r="O78" i="4"/>
  <c r="M78" i="4"/>
  <c r="J78" i="4"/>
  <c r="I78" i="4"/>
  <c r="H78" i="4"/>
  <c r="F78" i="4"/>
  <c r="G78" i="4" s="1"/>
  <c r="E78" i="4"/>
  <c r="D78" i="4"/>
  <c r="C78" i="4"/>
  <c r="Y77" i="4"/>
  <c r="F76" i="2" s="1"/>
  <c r="V77" i="4"/>
  <c r="G77" i="4"/>
  <c r="Y76" i="4"/>
  <c r="F75" i="2" s="1"/>
  <c r="U78" i="4"/>
  <c r="V78" i="4" s="1"/>
  <c r="S76" i="4"/>
  <c r="L76" i="4"/>
  <c r="G76" i="4"/>
  <c r="Q75" i="4"/>
  <c r="P75" i="4"/>
  <c r="O75" i="4"/>
  <c r="M75" i="4"/>
  <c r="J75" i="4"/>
  <c r="I75" i="4"/>
  <c r="H75" i="4"/>
  <c r="F75" i="4"/>
  <c r="E75" i="4"/>
  <c r="D75" i="4"/>
  <c r="C75" i="4"/>
  <c r="V74" i="4"/>
  <c r="S74" i="4"/>
  <c r="G74" i="4"/>
  <c r="Y73" i="4"/>
  <c r="F72" i="2" s="1"/>
  <c r="S73" i="4"/>
  <c r="L73" i="4"/>
  <c r="G73" i="4"/>
  <c r="F65" i="2"/>
  <c r="Y64" i="4"/>
  <c r="V64" i="4"/>
  <c r="V71" i="4" s="1"/>
  <c r="S64" i="4"/>
  <c r="S71" i="4" s="1"/>
  <c r="L64" i="4"/>
  <c r="L71" i="4" s="1"/>
  <c r="G64" i="4"/>
  <c r="G71" i="4" s="1"/>
  <c r="D59" i="4"/>
  <c r="G58" i="4"/>
  <c r="G59" i="4" s="1"/>
  <c r="D57" i="4"/>
  <c r="G56" i="4"/>
  <c r="G57" i="4" s="1"/>
  <c r="S55" i="4"/>
  <c r="E54" i="4"/>
  <c r="D54" i="4"/>
  <c r="Q53" i="4"/>
  <c r="Q58" i="4" s="1"/>
  <c r="Q59" i="4" s="1"/>
  <c r="P53" i="4"/>
  <c r="P54" i="4" s="1"/>
  <c r="O53" i="4"/>
  <c r="O54" i="4" s="1"/>
  <c r="G53" i="4"/>
  <c r="G54" i="4" s="1"/>
  <c r="E52" i="4"/>
  <c r="D52" i="4"/>
  <c r="G51" i="4"/>
  <c r="G52" i="4" s="1"/>
  <c r="F50" i="4"/>
  <c r="D50" i="4"/>
  <c r="C50" i="4"/>
  <c r="F49" i="2"/>
  <c r="X50" i="4"/>
  <c r="R49" i="4"/>
  <c r="R50" i="4" s="1"/>
  <c r="L49" i="4"/>
  <c r="S50" i="4" s="1"/>
  <c r="G49" i="4"/>
  <c r="F48" i="4"/>
  <c r="E48" i="4"/>
  <c r="D48" i="4"/>
  <c r="C48" i="4"/>
  <c r="X48" i="4"/>
  <c r="R47" i="4"/>
  <c r="R48" i="4" s="1"/>
  <c r="G47" i="4"/>
  <c r="F46" i="4"/>
  <c r="E46" i="4"/>
  <c r="D46" i="4"/>
  <c r="C46" i="4"/>
  <c r="G45" i="4"/>
  <c r="N46" i="4" s="1"/>
  <c r="E44" i="4"/>
  <c r="D44" i="4"/>
  <c r="T53" i="4"/>
  <c r="T58" i="4" s="1"/>
  <c r="G43" i="4"/>
  <c r="G44" i="4" s="1"/>
  <c r="D38" i="4"/>
  <c r="R37" i="4"/>
  <c r="R38" i="4" s="1"/>
  <c r="G37" i="4"/>
  <c r="G38" i="4" s="1"/>
  <c r="D36" i="4"/>
  <c r="C36" i="4"/>
  <c r="F35" i="2"/>
  <c r="AA36" i="4"/>
  <c r="R35" i="4"/>
  <c r="R36" i="4" s="1"/>
  <c r="L35" i="4"/>
  <c r="G35" i="4"/>
  <c r="G36" i="4" s="1"/>
  <c r="F27" i="4"/>
  <c r="E27" i="4"/>
  <c r="D27" i="4"/>
  <c r="C27" i="4"/>
  <c r="AA27" i="4"/>
  <c r="R26" i="4"/>
  <c r="R27" i="4" s="1"/>
  <c r="L26" i="4"/>
  <c r="S27" i="4" s="1"/>
  <c r="G26" i="4"/>
  <c r="G27" i="4" s="1"/>
  <c r="F25" i="4"/>
  <c r="E25" i="4"/>
  <c r="D25" i="4"/>
  <c r="C25" i="4"/>
  <c r="V24" i="4"/>
  <c r="R24" i="4"/>
  <c r="G24" i="4"/>
  <c r="G25" i="4" s="1"/>
  <c r="E22" i="4"/>
  <c r="D22" i="4"/>
  <c r="C22" i="4"/>
  <c r="X22" i="4"/>
  <c r="R21" i="4"/>
  <c r="G21" i="4"/>
  <c r="N22" i="4" s="1"/>
  <c r="E20" i="4"/>
  <c r="D20" i="4"/>
  <c r="C20" i="4"/>
  <c r="X20" i="4"/>
  <c r="R19" i="4"/>
  <c r="R20" i="4" s="1"/>
  <c r="G19" i="4"/>
  <c r="G20" i="4" s="1"/>
  <c r="Q16" i="4"/>
  <c r="P16" i="4"/>
  <c r="O16" i="4"/>
  <c r="O18" i="4" s="1"/>
  <c r="M16" i="4"/>
  <c r="M32" i="4" s="1"/>
  <c r="J16" i="4"/>
  <c r="J32" i="4" s="1"/>
  <c r="J34" i="4" s="1"/>
  <c r="I16" i="4"/>
  <c r="I32" i="4" s="1"/>
  <c r="I34" i="4" s="1"/>
  <c r="H16" i="4"/>
  <c r="H18" i="4" s="1"/>
  <c r="F16" i="4"/>
  <c r="E16" i="4"/>
  <c r="D16" i="4"/>
  <c r="D17" i="4" s="1"/>
  <c r="C16" i="4"/>
  <c r="C18" i="4" s="1"/>
  <c r="S14" i="4"/>
  <c r="S30" i="4" s="1"/>
  <c r="S41" i="4" s="1"/>
  <c r="S51" i="4" s="1"/>
  <c r="Q14" i="4"/>
  <c r="Q30" i="4" s="1"/>
  <c r="Q41" i="4" s="1"/>
  <c r="Q51" i="4" s="1"/>
  <c r="P14" i="4"/>
  <c r="P30" i="4" s="1"/>
  <c r="P41" i="4" s="1"/>
  <c r="P51" i="4" s="1"/>
  <c r="P52" i="4" s="1"/>
  <c r="O14" i="4"/>
  <c r="M14" i="4"/>
  <c r="M30" i="4" s="1"/>
  <c r="M41" i="4" s="1"/>
  <c r="J14" i="4"/>
  <c r="I14" i="4"/>
  <c r="H14" i="4"/>
  <c r="F14" i="4"/>
  <c r="F30" i="4" s="1"/>
  <c r="F31" i="4" s="1"/>
  <c r="E14" i="4"/>
  <c r="E15" i="4" s="1"/>
  <c r="D14" i="4"/>
  <c r="C14" i="4"/>
  <c r="C15" i="4" s="1"/>
  <c r="S12" i="4"/>
  <c r="R12" i="4" s="1"/>
  <c r="R13" i="4" s="1"/>
  <c r="G12" i="4"/>
  <c r="E11" i="4"/>
  <c r="D11" i="4"/>
  <c r="C11" i="4"/>
  <c r="AA11" i="4"/>
  <c r="Z11" i="4"/>
  <c r="R10" i="4"/>
  <c r="R11" i="4" s="1"/>
  <c r="G10" i="4"/>
  <c r="G11" i="4" s="1"/>
  <c r="D9" i="4"/>
  <c r="C9" i="4"/>
  <c r="U16" i="4"/>
  <c r="U18" i="4" s="1"/>
  <c r="R8" i="4"/>
  <c r="R9" i="4" s="1"/>
  <c r="E8" i="2"/>
  <c r="E9" i="2" s="1"/>
  <c r="G8" i="4"/>
  <c r="F7" i="4"/>
  <c r="D7" i="4"/>
  <c r="C7" i="4"/>
  <c r="R6" i="4"/>
  <c r="R7" i="4" s="1"/>
  <c r="Y7" i="4"/>
  <c r="G6" i="4"/>
  <c r="D34" i="2"/>
  <c r="C34" i="2"/>
  <c r="B34" i="2"/>
  <c r="B18" i="2"/>
  <c r="B37" i="3"/>
  <c r="B23" i="3"/>
  <c r="B87" i="2"/>
  <c r="B91" i="2" s="1"/>
  <c r="B95" i="2" s="1"/>
  <c r="C16" i="2"/>
  <c r="C14" i="2"/>
  <c r="B14" i="2"/>
  <c r="C37" i="3"/>
  <c r="B60" i="5" s="1"/>
  <c r="C52" i="3"/>
  <c r="B76" i="5" s="1"/>
  <c r="B52" i="3"/>
  <c r="D91" i="2"/>
  <c r="D95" i="2" s="1"/>
  <c r="C91" i="2"/>
  <c r="C95" i="2" s="1"/>
  <c r="D77" i="2"/>
  <c r="C77" i="2"/>
  <c r="B77" i="2"/>
  <c r="D74" i="2"/>
  <c r="C74" i="2"/>
  <c r="B74" i="2"/>
  <c r="D70" i="2"/>
  <c r="C70" i="2"/>
  <c r="B70" i="2"/>
  <c r="D16" i="2"/>
  <c r="D14" i="2"/>
  <c r="C51" i="3"/>
  <c r="B51" i="3"/>
  <c r="C48" i="3"/>
  <c r="B48" i="3"/>
  <c r="C45" i="3"/>
  <c r="B45" i="3"/>
  <c r="C36" i="3"/>
  <c r="B36" i="3"/>
  <c r="C33" i="3"/>
  <c r="B33" i="3"/>
  <c r="C30" i="3"/>
  <c r="B30" i="3"/>
  <c r="C23" i="3"/>
  <c r="A38" i="2"/>
  <c r="C10" i="3"/>
  <c r="B10" i="3"/>
  <c r="C8" i="3"/>
  <c r="B8" i="5" s="1"/>
  <c r="B8" i="3"/>
  <c r="C6" i="3"/>
  <c r="B6" i="3"/>
  <c r="E40" i="1"/>
  <c r="F40" i="1"/>
  <c r="D40" i="1"/>
  <c r="E22" i="1"/>
  <c r="F22" i="1"/>
  <c r="D22" i="1"/>
  <c r="D23" i="1" s="1"/>
  <c r="D59" i="2"/>
  <c r="C59" i="2"/>
  <c r="D57" i="2"/>
  <c r="C57" i="2"/>
  <c r="D54" i="2"/>
  <c r="C54" i="2"/>
  <c r="D52" i="2"/>
  <c r="C52" i="2"/>
  <c r="D50" i="2"/>
  <c r="C50" i="2"/>
  <c r="D48" i="2"/>
  <c r="C48" i="2"/>
  <c r="D46" i="2"/>
  <c r="C46" i="2"/>
  <c r="D44" i="2"/>
  <c r="C44" i="2"/>
  <c r="D36" i="2"/>
  <c r="C36" i="2"/>
  <c r="D33" i="2"/>
  <c r="C33" i="2"/>
  <c r="D31" i="2"/>
  <c r="C31" i="2"/>
  <c r="D27" i="2"/>
  <c r="C27" i="2"/>
  <c r="D25" i="2"/>
  <c r="C25" i="2"/>
  <c r="D22" i="2"/>
  <c r="C22" i="2"/>
  <c r="D20" i="2"/>
  <c r="C20" i="2"/>
  <c r="D13" i="2"/>
  <c r="C13" i="2"/>
  <c r="D11" i="2"/>
  <c r="C11" i="2"/>
  <c r="D9" i="2"/>
  <c r="C9" i="2"/>
  <c r="C22" i="3"/>
  <c r="C20" i="3"/>
  <c r="C18" i="3"/>
  <c r="C6" i="2"/>
  <c r="B6" i="2"/>
  <c r="S91" i="4"/>
  <c r="E26" i="2"/>
  <c r="E27" i="2" s="1"/>
  <c r="F47" i="2"/>
  <c r="K44" i="4"/>
  <c r="Y27" i="4"/>
  <c r="AK22" i="4"/>
  <c r="H22" i="2" s="1"/>
  <c r="F90" i="2"/>
  <c r="F37" i="2"/>
  <c r="L47" i="4"/>
  <c r="L45" i="4"/>
  <c r="H87" i="2"/>
  <c r="AH22" i="5"/>
  <c r="H61" i="1"/>
  <c r="H47" i="1"/>
  <c r="H35" i="1"/>
  <c r="H8" i="3"/>
  <c r="I9" i="3" s="1"/>
  <c r="AH20" i="5"/>
  <c r="AI53" i="5"/>
  <c r="H30" i="3" s="1"/>
  <c r="AI12" i="5"/>
  <c r="AN13" i="5" s="1"/>
  <c r="H47" i="2"/>
  <c r="H46" i="3"/>
  <c r="I47" i="3" s="1"/>
  <c r="AH71" i="5"/>
  <c r="G68" i="1"/>
  <c r="H49" i="1"/>
  <c r="G15" i="1"/>
  <c r="G19" i="1"/>
  <c r="G27" i="1"/>
  <c r="G39" i="1"/>
  <c r="G55" i="1"/>
  <c r="G59" i="1"/>
  <c r="G63" i="1"/>
  <c r="H29" i="1"/>
  <c r="K46" i="4"/>
  <c r="AA48" i="4"/>
  <c r="Z57" i="5"/>
  <c r="AF58" i="5" s="1"/>
  <c r="Z21" i="5"/>
  <c r="Z10" i="5"/>
  <c r="AD11" i="5"/>
  <c r="W75" i="5"/>
  <c r="F51" i="3" s="1"/>
  <c r="F49" i="3"/>
  <c r="AJ22" i="5"/>
  <c r="AJ12" i="5"/>
  <c r="AO13" i="5" s="1"/>
  <c r="X56" i="5"/>
  <c r="AG72" i="5"/>
  <c r="AE76" i="5"/>
  <c r="S72" i="5"/>
  <c r="AC74" i="5"/>
  <c r="Y25" i="4"/>
  <c r="F24" i="2"/>
  <c r="E47" i="2"/>
  <c r="E48" i="2" s="1"/>
  <c r="K25" i="4"/>
  <c r="K9" i="4"/>
  <c r="L8" i="4"/>
  <c r="S9" i="4" s="1"/>
  <c r="AA13" i="4"/>
  <c r="L24" i="4"/>
  <c r="X9" i="4"/>
  <c r="K50" i="4"/>
  <c r="C30" i="4"/>
  <c r="C31" i="4" s="1"/>
  <c r="F66" i="2"/>
  <c r="N23" i="4"/>
  <c r="Z50" i="4"/>
  <c r="AA25" i="4"/>
  <c r="L21" i="4"/>
  <c r="S22" i="4" s="1"/>
  <c r="Z25" i="4"/>
  <c r="AG7" i="5"/>
  <c r="AJ20" i="5"/>
  <c r="X59" i="5"/>
  <c r="AJ11" i="5"/>
  <c r="AB20" i="5"/>
  <c r="X22" i="5"/>
  <c r="AD59" i="5"/>
  <c r="AA56" i="5"/>
  <c r="AG77" i="5"/>
  <c r="AC60" i="5"/>
  <c r="AD75" i="5"/>
  <c r="E34" i="3"/>
  <c r="F6" i="3"/>
  <c r="F8" i="3"/>
  <c r="W59" i="5"/>
  <c r="F36" i="3" s="1"/>
  <c r="F34" i="3"/>
  <c r="T76" i="5"/>
  <c r="AD52" i="5"/>
  <c r="G21" i="3"/>
  <c r="X74" i="5"/>
  <c r="AC55" i="5"/>
  <c r="S60" i="5"/>
  <c r="M58" i="5"/>
  <c r="G17" i="3"/>
  <c r="AG68" i="5"/>
  <c r="W7" i="5"/>
  <c r="AC22" i="5"/>
  <c r="AD9" i="5"/>
  <c r="AA69" i="5"/>
  <c r="S75" i="5"/>
  <c r="AE74" i="5"/>
  <c r="AG22" i="5"/>
  <c r="X75" i="5"/>
  <c r="AD20" i="5"/>
  <c r="AI71" i="5"/>
  <c r="AI55" i="5"/>
  <c r="U10" i="5"/>
  <c r="AA11" i="5" s="1"/>
  <c r="V22" i="5"/>
  <c r="AD55" i="5"/>
  <c r="X55" i="5"/>
  <c r="AD74" i="5"/>
  <c r="AD23" i="5"/>
  <c r="AD22" i="5"/>
  <c r="AD60" i="5"/>
  <c r="AG9" i="5"/>
  <c r="AA75" i="5"/>
  <c r="AB69" i="5"/>
  <c r="AB76" i="5"/>
  <c r="U17" i="5"/>
  <c r="X9" i="5"/>
  <c r="W11" i="5"/>
  <c r="W68" i="5"/>
  <c r="W69" i="5"/>
  <c r="F45" i="3" s="1"/>
  <c r="V72" i="5"/>
  <c r="V71" i="5"/>
  <c r="G19" i="3"/>
  <c r="V58" i="5"/>
  <c r="S59" i="5"/>
  <c r="Y11" i="5"/>
  <c r="Y18" i="5"/>
  <c r="M72" i="5"/>
  <c r="E48" i="3" s="1"/>
  <c r="X20" i="5"/>
  <c r="AC59" i="5"/>
  <c r="G36" i="3" s="1"/>
  <c r="G34" i="3"/>
  <c r="AC75" i="5"/>
  <c r="G51" i="3" s="1"/>
  <c r="G49" i="3"/>
  <c r="AD72" i="5"/>
  <c r="Y7" i="5"/>
  <c r="M75" i="5"/>
  <c r="E51" i="3" s="1"/>
  <c r="V56" i="5"/>
  <c r="S53" i="5"/>
  <c r="AC18" i="5"/>
  <c r="F17" i="3"/>
  <c r="T72" i="5"/>
  <c r="AA59" i="5"/>
  <c r="AG58" i="5"/>
  <c r="AB60" i="5"/>
  <c r="G31" i="3"/>
  <c r="AC56" i="5"/>
  <c r="G33" i="3" s="1"/>
  <c r="AB71" i="5"/>
  <c r="AB72" i="5"/>
  <c r="AG20" i="5"/>
  <c r="M59" i="5"/>
  <c r="E36" i="3" s="1"/>
  <c r="S23" i="5"/>
  <c r="Y9" i="5"/>
  <c r="T12" i="5"/>
  <c r="E19" i="3"/>
  <c r="V20" i="5"/>
  <c r="Y22" i="5"/>
  <c r="T59" i="5"/>
  <c r="T75" i="5"/>
  <c r="U21" i="5"/>
  <c r="AC20" i="5"/>
  <c r="AC52" i="5"/>
  <c r="F19" i="3"/>
  <c r="W56" i="5"/>
  <c r="F33" i="3" s="1"/>
  <c r="W55" i="5"/>
  <c r="U57" i="5"/>
  <c r="AA58" i="5" s="1"/>
  <c r="V59" i="5"/>
  <c r="V76" i="5"/>
  <c r="M56" i="5"/>
  <c r="E33" i="3" s="1"/>
  <c r="H6" i="3"/>
  <c r="I7" i="3" s="1"/>
  <c r="E31" i="3"/>
  <c r="W22" i="5"/>
  <c r="W12" i="5"/>
  <c r="W20" i="5"/>
  <c r="E21" i="3"/>
  <c r="AC68" i="5"/>
  <c r="F43" i="3"/>
  <c r="X52" i="5"/>
  <c r="X68" i="5"/>
  <c r="AC7" i="5"/>
  <c r="AB58" i="5"/>
  <c r="AC58" i="5"/>
  <c r="AG59" i="5"/>
  <c r="AA23" i="5"/>
  <c r="AA78" i="5" s="1"/>
  <c r="AC12" i="5"/>
  <c r="AC11" i="5"/>
  <c r="G10" i="3"/>
  <c r="H43" i="3"/>
  <c r="I44" i="3" s="1"/>
  <c r="AI76" i="5"/>
  <c r="AH52" i="5"/>
  <c r="AH74" i="5"/>
  <c r="AI7" i="5"/>
  <c r="AE87" i="4"/>
  <c r="AG20" i="4"/>
  <c r="AF9" i="5"/>
  <c r="AE12" i="5"/>
  <c r="AK22" i="5"/>
  <c r="AE9" i="5"/>
  <c r="AE22" i="5"/>
  <c r="AH87" i="4"/>
  <c r="AK68" i="5"/>
  <c r="AF60" i="5"/>
  <c r="AF69" i="5"/>
  <c r="AH55" i="4"/>
  <c r="AH12" i="4"/>
  <c r="AL13" i="4" s="1"/>
  <c r="Y46" i="4"/>
  <c r="F45" i="2"/>
  <c r="AE25" i="4"/>
  <c r="G37" i="2"/>
  <c r="AJ7" i="4"/>
  <c r="G12" i="2"/>
  <c r="K92" i="4"/>
  <c r="K96" i="4" s="1"/>
  <c r="K27" i="4"/>
  <c r="AI16" i="4"/>
  <c r="AI18" i="4" s="1"/>
  <c r="E45" i="2"/>
  <c r="E46" i="2" s="1"/>
  <c r="E10" i="2"/>
  <c r="N14" i="4"/>
  <c r="N30" i="4" s="1"/>
  <c r="N41" i="4" s="1"/>
  <c r="N51" i="4" s="1"/>
  <c r="N56" i="4" s="1"/>
  <c r="Y44" i="4"/>
  <c r="AI23" i="4"/>
  <c r="N16" i="4"/>
  <c r="N32" i="4" s="1"/>
  <c r="H8" i="2"/>
  <c r="W47" i="4"/>
  <c r="AC48" i="4" s="1"/>
  <c r="X7" i="4"/>
  <c r="Y48" i="4"/>
  <c r="AH94" i="4"/>
  <c r="AI25" i="4"/>
  <c r="AK46" i="4"/>
  <c r="H46" i="2" s="1"/>
  <c r="G65" i="2"/>
  <c r="AE7" i="5"/>
  <c r="AJ11" i="4"/>
  <c r="AI27" i="4"/>
  <c r="G26" i="2"/>
  <c r="AD53" i="4"/>
  <c r="AD58" i="4" s="1"/>
  <c r="AE55" i="5"/>
  <c r="AF20" i="5"/>
  <c r="AF56" i="5"/>
  <c r="AF72" i="5"/>
  <c r="AI11" i="5"/>
  <c r="H10" i="3"/>
  <c r="I11" i="3" s="1"/>
  <c r="AI75" i="5"/>
  <c r="H51" i="3" s="1"/>
  <c r="H49" i="3"/>
  <c r="I50" i="3" s="1"/>
  <c r="AI74" i="5"/>
  <c r="AH58" i="5"/>
  <c r="AH59" i="5"/>
  <c r="AH60" i="5"/>
  <c r="AI56" i="5"/>
  <c r="H33" i="3" s="1"/>
  <c r="H31" i="3"/>
  <c r="I32" i="3" s="1"/>
  <c r="AH7" i="5"/>
  <c r="AI38" i="4"/>
  <c r="AI52" i="5"/>
  <c r="H28" i="3"/>
  <c r="I29" i="3" s="1"/>
  <c r="AH55" i="5"/>
  <c r="AH56" i="5"/>
  <c r="AH72" i="5"/>
  <c r="H39" i="1"/>
  <c r="H45" i="2"/>
  <c r="AH49" i="4"/>
  <c r="AL50" i="4" s="1"/>
  <c r="AF12" i="5"/>
  <c r="AF11" i="5"/>
  <c r="AE56" i="5"/>
  <c r="AE72" i="5"/>
  <c r="AE23" i="5"/>
  <c r="AE20" i="5"/>
  <c r="AF53" i="5"/>
  <c r="AK55" i="5"/>
  <c r="H37" i="1"/>
  <c r="H40" i="1"/>
  <c r="I41" i="1" s="1"/>
  <c r="AG38" i="4"/>
  <c r="AH37" i="4"/>
  <c r="AL38" i="4" s="1"/>
  <c r="AI59" i="5"/>
  <c r="H36" i="3" s="1"/>
  <c r="H17" i="1"/>
  <c r="H22" i="1"/>
  <c r="I23" i="1" s="1"/>
  <c r="AE38" i="4"/>
  <c r="AK38" i="4"/>
  <c r="H38" i="2" s="1"/>
  <c r="AD46" i="4"/>
  <c r="G49" i="2"/>
  <c r="AE50" i="4"/>
  <c r="AH68" i="5"/>
  <c r="AH12" i="5"/>
  <c r="AH9" i="5"/>
  <c r="AK77" i="4"/>
  <c r="H76" i="2" s="1"/>
  <c r="AE46" i="4"/>
  <c r="G45" i="2"/>
  <c r="AH76" i="5"/>
  <c r="G8" i="2"/>
  <c r="AK36" i="4"/>
  <c r="H36" i="2" s="1"/>
  <c r="AE52" i="5"/>
  <c r="AK11" i="4"/>
  <c r="H11" i="2" s="1"/>
  <c r="AD75" i="4"/>
  <c r="AI69" i="5"/>
  <c r="H45" i="3" s="1"/>
  <c r="AJ53" i="4"/>
  <c r="AJ58" i="4" s="1"/>
  <c r="H34" i="3"/>
  <c r="I35" i="3" s="1"/>
  <c r="AI60" i="5"/>
  <c r="AI58" i="5"/>
  <c r="H19" i="3"/>
  <c r="I20" i="3" s="1"/>
  <c r="H68" i="1"/>
  <c r="I69" i="1" s="1"/>
  <c r="AF76" i="5"/>
  <c r="AH75" i="5"/>
  <c r="AK7" i="5"/>
  <c r="AK12" i="5"/>
  <c r="AP13" i="5" s="1"/>
  <c r="AK20" i="5"/>
  <c r="AK58" i="5"/>
  <c r="AK56" i="5"/>
  <c r="AK52" i="5"/>
  <c r="AK72" i="5"/>
  <c r="AK60" i="5"/>
  <c r="AL59" i="4"/>
  <c r="AB12" i="4"/>
  <c r="AI7" i="4"/>
  <c r="AI20" i="4"/>
  <c r="AD22" i="4"/>
  <c r="AD44" i="4"/>
  <c r="AI36" i="4"/>
  <c r="K7" i="4"/>
  <c r="Y23" i="4"/>
  <c r="AI14" i="4"/>
  <c r="AB35" i="4"/>
  <c r="Z36" i="4"/>
  <c r="AC23" i="4"/>
  <c r="AJ48" i="4"/>
  <c r="Y22" i="4"/>
  <c r="L6" i="4"/>
  <c r="AD48" i="4"/>
  <c r="Y16" i="4"/>
  <c r="Y32" i="4" s="1"/>
  <c r="Y34" i="4" s="1"/>
  <c r="F12" i="2"/>
  <c r="AA20" i="4"/>
  <c r="W43" i="4"/>
  <c r="AC44" i="4" s="1"/>
  <c r="AA46" i="4"/>
  <c r="V47" i="4"/>
  <c r="T75" i="4"/>
  <c r="AF13" i="4"/>
  <c r="AJ20" i="4"/>
  <c r="H10" i="2"/>
  <c r="Z22" i="4"/>
  <c r="AI22" i="4"/>
  <c r="AG44" i="4"/>
  <c r="AE44" i="4"/>
  <c r="Y50" i="4"/>
  <c r="X53" i="4"/>
  <c r="AJ87" i="4"/>
  <c r="AJ92" i="4" s="1"/>
  <c r="AJ96" i="4" s="1"/>
  <c r="K11" i="4"/>
  <c r="W37" i="4"/>
  <c r="AC38" i="4" s="1"/>
  <c r="X44" i="4"/>
  <c r="AF11" i="4"/>
  <c r="AG75" i="4"/>
  <c r="AJ36" i="4"/>
  <c r="X16" i="4"/>
  <c r="X18" i="4" s="1"/>
  <c r="AD50" i="4"/>
  <c r="AL18" i="4"/>
  <c r="AK44" i="4"/>
  <c r="H44" i="2" s="1"/>
  <c r="H43" i="2"/>
  <c r="E19" i="2"/>
  <c r="E20" i="2" s="1"/>
  <c r="R78" i="4"/>
  <c r="S78" i="4" s="1"/>
  <c r="AF46" i="4"/>
  <c r="AH45" i="4"/>
  <c r="AF23" i="4"/>
  <c r="AF14" i="4"/>
  <c r="AF30" i="4" s="1"/>
  <c r="AF41" i="4" s="1"/>
  <c r="AF51" i="4" s="1"/>
  <c r="AF56" i="4" s="1"/>
  <c r="AJ14" i="4"/>
  <c r="AJ30" i="4" s="1"/>
  <c r="AJ41" i="4" s="1"/>
  <c r="AJ9" i="4"/>
  <c r="AJ16" i="4"/>
  <c r="AJ32" i="4" s="1"/>
  <c r="AJ34" i="4" s="1"/>
  <c r="H37" i="2"/>
  <c r="AG11" i="4"/>
  <c r="AG50" i="4"/>
  <c r="AH91" i="4"/>
  <c r="AG92" i="4"/>
  <c r="AG96" i="4" s="1"/>
  <c r="AI13" i="4"/>
  <c r="AC16" i="4"/>
  <c r="AJ75" i="4"/>
  <c r="AJ22" i="4"/>
  <c r="S77" i="4"/>
  <c r="W19" i="4"/>
  <c r="AC20" i="4" s="1"/>
  <c r="AK13" i="4"/>
  <c r="H13" i="2" s="1"/>
  <c r="Y20" i="4"/>
  <c r="T14" i="4"/>
  <c r="L10" i="4"/>
  <c r="K14" i="4"/>
  <c r="K30" i="4" s="1"/>
  <c r="E21" i="2"/>
  <c r="AA38" i="4"/>
  <c r="V43" i="4"/>
  <c r="Z44" i="4"/>
  <c r="V94" i="4"/>
  <c r="W78" i="4"/>
  <c r="Y92" i="4"/>
  <c r="Y96" i="4" s="1"/>
  <c r="F95" i="2" s="1"/>
  <c r="AH47" i="4"/>
  <c r="AL48" i="4" s="1"/>
  <c r="AK27" i="4"/>
  <c r="H27" i="2" s="1"/>
  <c r="H26" i="2"/>
  <c r="I27" i="2" s="1"/>
  <c r="AJ44" i="4"/>
  <c r="V10" i="4"/>
  <c r="K13" i="4"/>
  <c r="L12" i="4"/>
  <c r="K16" i="4"/>
  <c r="K32" i="4" s="1"/>
  <c r="K34" i="4" s="1"/>
  <c r="K20" i="4"/>
  <c r="L19" i="4"/>
  <c r="K36" i="4"/>
  <c r="E37" i="2"/>
  <c r="Y38" i="4"/>
  <c r="AA44" i="4"/>
  <c r="U53" i="4"/>
  <c r="U58" i="4" s="1"/>
  <c r="AK81" i="4"/>
  <c r="H80" i="2" s="1"/>
  <c r="AK7" i="4"/>
  <c r="H35" i="2"/>
  <c r="AH77" i="4"/>
  <c r="AG78" i="4"/>
  <c r="AH90" i="4"/>
  <c r="AB8" i="4"/>
  <c r="Z14" i="4"/>
  <c r="Z9" i="4"/>
  <c r="AB49" i="4"/>
  <c r="AI44" i="4"/>
  <c r="AC53" i="4"/>
  <c r="AD23" i="4"/>
  <c r="AD14" i="4"/>
  <c r="AD30" i="4" s="1"/>
  <c r="AD41" i="4" s="1"/>
  <c r="AD51" i="4" s="1"/>
  <c r="AL23" i="4"/>
  <c r="AL34" i="4"/>
  <c r="AE7" i="4"/>
  <c r="V49" i="4"/>
  <c r="Y53" i="4"/>
  <c r="Y58" i="4" s="1"/>
  <c r="F58" i="2" s="1"/>
  <c r="W92" i="4"/>
  <c r="W96" i="4" s="1"/>
  <c r="Z78" i="4"/>
  <c r="AC92" i="4"/>
  <c r="AC96" i="4" s="1"/>
  <c r="AD11" i="4"/>
  <c r="AJ46" i="4"/>
  <c r="AJ78" i="4"/>
  <c r="AG53" i="4"/>
  <c r="AG58" i="4" s="1"/>
  <c r="W49" i="4"/>
  <c r="AC50" i="4" s="1"/>
  <c r="AE9" i="4"/>
  <c r="Y9" i="4"/>
  <c r="V19" i="4"/>
  <c r="V21" i="4"/>
  <c r="K48" i="4"/>
  <c r="AA50" i="4"/>
  <c r="V73" i="4"/>
  <c r="U75" i="4"/>
  <c r="U79" i="4" s="1"/>
  <c r="Y74" i="4"/>
  <c r="F73" i="2" s="1"/>
  <c r="X75" i="4"/>
  <c r="AI48" i="4"/>
  <c r="AI92" i="4"/>
  <c r="AI96" i="4" s="1"/>
  <c r="Z20" i="4"/>
  <c r="AD78" i="4"/>
  <c r="AE76" i="4"/>
  <c r="G75" i="2" s="1"/>
  <c r="AC75" i="4"/>
  <c r="AE36" i="4"/>
  <c r="AE14" i="4"/>
  <c r="R55" i="4"/>
  <c r="Z7" i="4"/>
  <c r="AF7" i="4"/>
  <c r="AB6" i="4"/>
  <c r="AH21" i="4"/>
  <c r="AI46" i="4"/>
  <c r="F10" i="2"/>
  <c r="W10" i="4"/>
  <c r="AC11" i="4" s="1"/>
  <c r="Y14" i="4"/>
  <c r="Y30" i="4" s="1"/>
  <c r="Y41" i="4" s="1"/>
  <c r="Y11" i="4"/>
  <c r="AE11" i="4"/>
  <c r="X25" i="4"/>
  <c r="W24" i="4"/>
  <c r="AC25" i="4" s="1"/>
  <c r="V37" i="4"/>
  <c r="AG27" i="4"/>
  <c r="AG25" i="4"/>
  <c r="AG22" i="4"/>
  <c r="E35" i="2"/>
  <c r="E36" i="2" s="1"/>
  <c r="Y36" i="4"/>
  <c r="X36" i="4"/>
  <c r="AD36" i="4"/>
  <c r="X38" i="4"/>
  <c r="V45" i="4"/>
  <c r="Z46" i="4"/>
  <c r="W45" i="4"/>
  <c r="AC46" i="4" s="1"/>
  <c r="AB19" i="4"/>
  <c r="G47" i="2"/>
  <c r="AK48" i="4"/>
  <c r="H48" i="2" s="1"/>
  <c r="AE48" i="4"/>
  <c r="AE53" i="4"/>
  <c r="AF44" i="4"/>
  <c r="AF53" i="4"/>
  <c r="AF58" i="4" s="1"/>
  <c r="AH43" i="4"/>
  <c r="AL44" i="4" s="1"/>
  <c r="AF25" i="4"/>
  <c r="AH24" i="4"/>
  <c r="AL25" i="4" s="1"/>
  <c r="AH81" i="4"/>
  <c r="Z27" i="4"/>
  <c r="AB26" i="4"/>
  <c r="Z92" i="4"/>
  <c r="Z96" i="4" s="1"/>
  <c r="AB91" i="4"/>
  <c r="AI11" i="4"/>
  <c r="AJ13" i="4"/>
  <c r="AD16" i="4"/>
  <c r="AD18" i="4" s="1"/>
  <c r="AD13" i="4"/>
  <c r="AE20" i="4"/>
  <c r="AK20" i="4"/>
  <c r="H20" i="2" s="1"/>
  <c r="G19" i="2"/>
  <c r="AD87" i="4"/>
  <c r="AD92" i="4" s="1"/>
  <c r="AD96" i="4" s="1"/>
  <c r="AJ25" i="4"/>
  <c r="AK87" i="4"/>
  <c r="AK25" i="4"/>
  <c r="H25" i="2" s="1"/>
  <c r="AA9" i="4"/>
  <c r="U23" i="4"/>
  <c r="K38" i="4"/>
  <c r="L37" i="4"/>
  <c r="L74" i="4"/>
  <c r="K75" i="4"/>
  <c r="L77" i="4"/>
  <c r="K78" i="4"/>
  <c r="L78" i="4" s="1"/>
  <c r="T78" i="4"/>
  <c r="AF92" i="4"/>
  <c r="AH89" i="4"/>
  <c r="AD38" i="4"/>
  <c r="AJ38" i="4"/>
  <c r="U14" i="4"/>
  <c r="U30" i="4" s="1"/>
  <c r="U41" i="4" s="1"/>
  <c r="U51" i="4" s="1"/>
  <c r="U56" i="4" s="1"/>
  <c r="Z13" i="4"/>
  <c r="V12" i="4"/>
  <c r="W35" i="4"/>
  <c r="AC36" i="4" s="1"/>
  <c r="V91" i="4"/>
  <c r="U92" i="4"/>
  <c r="U96" i="4" s="1"/>
  <c r="AJ23" i="4"/>
  <c r="AD27" i="4"/>
  <c r="V6" i="4"/>
  <c r="E12" i="2"/>
  <c r="Y13" i="4"/>
  <c r="K53" i="4"/>
  <c r="K54" i="4" s="1"/>
  <c r="L43" i="4"/>
  <c r="E49" i="2"/>
  <c r="E50" i="2" s="1"/>
  <c r="F68" i="2"/>
  <c r="E86" i="2"/>
  <c r="N92" i="4"/>
  <c r="N96" i="4" s="1"/>
  <c r="AF22" i="4"/>
  <c r="Z23" i="4"/>
  <c r="AD7" i="4"/>
  <c r="AE13" i="4"/>
  <c r="AE16" i="4"/>
  <c r="AE32" i="4" s="1"/>
  <c r="AE23" i="4"/>
  <c r="AH74" i="4"/>
  <c r="AH19" i="4"/>
  <c r="AL20" i="4" s="1"/>
  <c r="W6" i="4"/>
  <c r="AC7" i="4" s="1"/>
  <c r="AG13" i="4"/>
  <c r="AG48" i="4"/>
  <c r="AE22" i="4"/>
  <c r="X13" i="4"/>
  <c r="W12" i="4"/>
  <c r="AC13" i="4" s="1"/>
  <c r="F19" i="2"/>
  <c r="N53" i="4"/>
  <c r="N58" i="4" s="1"/>
  <c r="E58" i="2" s="1"/>
  <c r="E59" i="2" s="1"/>
  <c r="AF48" i="4"/>
  <c r="Z16" i="4"/>
  <c r="X11" i="4"/>
  <c r="AF9" i="4"/>
  <c r="AA7" i="4"/>
  <c r="X14" i="4"/>
  <c r="AA22" i="4"/>
  <c r="W21" i="4"/>
  <c r="AC22" i="4" s="1"/>
  <c r="F21" i="2"/>
  <c r="E24" i="2"/>
  <c r="E25" i="2" s="1"/>
  <c r="V35" i="4"/>
  <c r="X46" i="4"/>
  <c r="R75" i="4"/>
  <c r="X78" i="4"/>
  <c r="T92" i="4"/>
  <c r="T96" i="4" s="1"/>
  <c r="AF50" i="4"/>
  <c r="AF20" i="4"/>
  <c r="H65" i="2"/>
  <c r="AK16" i="4"/>
  <c r="AK9" i="4"/>
  <c r="H9" i="2" s="1"/>
  <c r="AK23" i="4"/>
  <c r="AB37" i="4"/>
  <c r="AF38" i="4"/>
  <c r="Z38" i="4"/>
  <c r="V8" i="4"/>
  <c r="T23" i="4"/>
  <c r="T16" i="4"/>
  <c r="F8" i="2"/>
  <c r="W8" i="4"/>
  <c r="X27" i="4"/>
  <c r="W26" i="4"/>
  <c r="AC27" i="4" s="1"/>
  <c r="AF75" i="4"/>
  <c r="AF27" i="4"/>
  <c r="AG36" i="4"/>
  <c r="AH35" i="4"/>
  <c r="AL36" i="4" s="1"/>
  <c r="AI53" i="4"/>
  <c r="AI58" i="4" s="1"/>
  <c r="AM59" i="4" s="1"/>
  <c r="Z53" i="4"/>
  <c r="Z58" i="4" s="1"/>
  <c r="AC14" i="4"/>
  <c r="AC30" i="4" s="1"/>
  <c r="AC41" i="4" s="1"/>
  <c r="AC51" i="4" s="1"/>
  <c r="AI9" i="4"/>
  <c r="V76" i="4"/>
  <c r="K22" i="4"/>
  <c r="K23" i="4"/>
  <c r="X23" i="4"/>
  <c r="Z48" i="4"/>
  <c r="AC78" i="4"/>
  <c r="V26" i="4"/>
  <c r="V89" i="4"/>
  <c r="W75" i="4"/>
  <c r="AB45" i="4"/>
  <c r="AK76" i="5"/>
  <c r="AP77" i="5" s="1"/>
  <c r="AK75" i="5"/>
  <c r="AC69" i="5"/>
  <c r="G45" i="3" s="1"/>
  <c r="G43" i="3"/>
  <c r="AI68" i="5"/>
  <c r="AE58" i="5"/>
  <c r="AF7" i="5"/>
  <c r="V9" i="5"/>
  <c r="AB9" i="5"/>
  <c r="V12" i="5"/>
  <c r="U8" i="5"/>
  <c r="Z70" i="5"/>
  <c r="X71" i="5"/>
  <c r="X72" i="5"/>
  <c r="X76" i="5"/>
  <c r="AE59" i="5"/>
  <c r="AI23" i="5"/>
  <c r="AN24" i="5" s="1"/>
  <c r="AF75" i="5"/>
  <c r="AF22" i="5"/>
  <c r="AF59" i="5"/>
  <c r="AA12" i="5"/>
  <c r="AG18" i="5"/>
  <c r="AG53" i="5"/>
  <c r="AG69" i="5"/>
  <c r="AG11" i="5"/>
  <c r="AG52" i="5"/>
  <c r="AA53" i="5"/>
  <c r="AA60" i="5"/>
  <c r="AA72" i="5"/>
  <c r="AG71" i="5"/>
  <c r="AB12" i="5"/>
  <c r="AB11" i="5"/>
  <c r="AB53" i="5"/>
  <c r="AB18" i="5"/>
  <c r="AK74" i="5"/>
  <c r="AE18" i="5"/>
  <c r="AE53" i="5"/>
  <c r="AE69" i="5"/>
  <c r="AK11" i="5"/>
  <c r="AE11" i="5"/>
  <c r="AH23" i="5"/>
  <c r="AI18" i="5"/>
  <c r="H17" i="3"/>
  <c r="I18" i="3" s="1"/>
  <c r="E8" i="3"/>
  <c r="W9" i="5"/>
  <c r="M12" i="5"/>
  <c r="V18" i="5"/>
  <c r="V23" i="5"/>
  <c r="V53" i="5"/>
  <c r="V69" i="5"/>
  <c r="Y52" i="5"/>
  <c r="T53" i="5"/>
  <c r="AH11" i="5"/>
  <c r="AH53" i="5"/>
  <c r="AH18" i="5"/>
  <c r="AE60" i="5"/>
  <c r="AF23" i="5"/>
  <c r="T60" i="5"/>
  <c r="AB68" i="5"/>
  <c r="U70" i="5"/>
  <c r="AA71" i="5" s="1"/>
  <c r="W72" i="5"/>
  <c r="F48" i="3" s="1"/>
  <c r="AC71" i="5"/>
  <c r="W76" i="5"/>
  <c r="F52" i="3" s="1"/>
  <c r="F46" i="3"/>
  <c r="W71" i="5"/>
  <c r="AF18" i="5"/>
  <c r="Y58" i="5"/>
  <c r="V74" i="5"/>
  <c r="AB74" i="5"/>
  <c r="U73" i="5"/>
  <c r="AA74" i="5" s="1"/>
  <c r="U6" i="5"/>
  <c r="AA7" i="5" s="1"/>
  <c r="X7" i="5"/>
  <c r="Z17" i="5"/>
  <c r="X23" i="5"/>
  <c r="X18" i="5"/>
  <c r="X69" i="5"/>
  <c r="X53" i="5"/>
  <c r="AD18" i="5"/>
  <c r="AI20" i="5"/>
  <c r="AD68" i="5"/>
  <c r="AD69" i="5"/>
  <c r="AJ9" i="5"/>
  <c r="AE75" i="5"/>
  <c r="E17" i="3"/>
  <c r="M69" i="5"/>
  <c r="E45" i="3" s="1"/>
  <c r="W18" i="5"/>
  <c r="T56" i="5"/>
  <c r="Y20" i="5"/>
  <c r="T23" i="5"/>
  <c r="U19" i="5"/>
  <c r="AA20" i="5" s="1"/>
  <c r="M55" i="5"/>
  <c r="X58" i="5"/>
  <c r="AD71" i="5"/>
  <c r="AD76" i="5"/>
  <c r="AG55" i="5"/>
  <c r="AB75" i="5"/>
  <c r="AB59" i="5"/>
  <c r="AB23" i="5"/>
  <c r="AB55" i="5"/>
  <c r="AJ7" i="5"/>
  <c r="AJ23" i="5"/>
  <c r="AO24" i="5" s="1"/>
  <c r="AI72" i="5"/>
  <c r="H48" i="3" s="1"/>
  <c r="H21" i="3"/>
  <c r="AK18" i="5"/>
  <c r="AI9" i="5"/>
  <c r="X60" i="5"/>
  <c r="X12" i="5"/>
  <c r="M60" i="5"/>
  <c r="E37" i="3" s="1"/>
  <c r="AC72" i="5"/>
  <c r="G48" i="3" s="1"/>
  <c r="AC53" i="5"/>
  <c r="G30" i="3" s="1"/>
  <c r="AG74" i="5"/>
  <c r="W23" i="5"/>
  <c r="W53" i="5"/>
  <c r="F30" i="3" s="1"/>
  <c r="M23" i="5"/>
  <c r="V60" i="5"/>
  <c r="AB22" i="5"/>
  <c r="F28" i="3"/>
  <c r="AD58" i="5"/>
  <c r="AB56" i="5"/>
  <c r="AG60" i="5"/>
  <c r="AG56" i="5"/>
  <c r="E6" i="3"/>
  <c r="X11" i="5"/>
  <c r="S12" i="5"/>
  <c r="G46" i="3"/>
  <c r="AC76" i="5"/>
  <c r="G52" i="3" s="1"/>
  <c r="W52" i="5"/>
  <c r="U51" i="5"/>
  <c r="Y68" i="5"/>
  <c r="T69" i="5"/>
  <c r="U67" i="5"/>
  <c r="AA68" i="5" s="1"/>
  <c r="AD53" i="5"/>
  <c r="G8" i="3"/>
  <c r="AC9" i="5"/>
  <c r="AC23" i="5"/>
  <c r="V7" i="5"/>
  <c r="AB7" i="5"/>
  <c r="M52" i="5"/>
  <c r="M53" i="5"/>
  <c r="E30" i="3" s="1"/>
  <c r="W58" i="5"/>
  <c r="AD12" i="5"/>
  <c r="AG23" i="5"/>
  <c r="AD56" i="5"/>
  <c r="AK53" i="5"/>
  <c r="AK69" i="5"/>
  <c r="AK23" i="5"/>
  <c r="AP24" i="5" s="1"/>
  <c r="H53" i="2"/>
  <c r="AK58" i="4"/>
  <c r="H58" i="2" s="1"/>
  <c r="AL57" i="4"/>
  <c r="C78" i="2" l="1"/>
  <c r="E79" i="4"/>
  <c r="J79" i="4"/>
  <c r="Q79" i="4"/>
  <c r="W79" i="4"/>
  <c r="D79" i="4"/>
  <c r="I79" i="4"/>
  <c r="P79" i="4"/>
  <c r="E64" i="2"/>
  <c r="N71" i="4"/>
  <c r="G64" i="2"/>
  <c r="AE71" i="4"/>
  <c r="F64" i="2"/>
  <c r="Y71" i="4"/>
  <c r="H64" i="2"/>
  <c r="AK71" i="4"/>
  <c r="E69" i="2"/>
  <c r="G69" i="2"/>
  <c r="D78" i="2"/>
  <c r="H69" i="2"/>
  <c r="B78" i="2"/>
  <c r="F69" i="2"/>
  <c r="AI79" i="4"/>
  <c r="T79" i="4"/>
  <c r="Z79" i="4"/>
  <c r="C79" i="4"/>
  <c r="H79" i="4"/>
  <c r="O79" i="4"/>
  <c r="AH75" i="4"/>
  <c r="AG79" i="4"/>
  <c r="AK75" i="4"/>
  <c r="AJ79" i="4"/>
  <c r="AE75" i="4"/>
  <c r="AD79" i="4"/>
  <c r="G75" i="4"/>
  <c r="G79" i="4" s="1"/>
  <c r="F79" i="4"/>
  <c r="M79" i="4"/>
  <c r="L75" i="4"/>
  <c r="L79" i="4" s="1"/>
  <c r="K79" i="4"/>
  <c r="Y75" i="4"/>
  <c r="X79" i="4"/>
  <c r="Z83" i="4"/>
  <c r="AA79" i="4"/>
  <c r="AF79" i="4"/>
  <c r="S75" i="4"/>
  <c r="S79" i="4" s="1"/>
  <c r="R79" i="4"/>
  <c r="AC79" i="4"/>
  <c r="Y42" i="4"/>
  <c r="N44" i="4"/>
  <c r="AB48" i="4"/>
  <c r="K18" i="4"/>
  <c r="AD32" i="4"/>
  <c r="AD34" i="4" s="1"/>
  <c r="D83" i="4"/>
  <c r="X61" i="5"/>
  <c r="AI61" i="5"/>
  <c r="C83" i="4"/>
  <c r="L75" i="5"/>
  <c r="T83" i="4"/>
  <c r="AJ18" i="4"/>
  <c r="L7" i="4"/>
  <c r="W14" i="4"/>
  <c r="AC15" i="4" s="1"/>
  <c r="N11" i="4"/>
  <c r="L72" i="5"/>
  <c r="K31" i="4"/>
  <c r="F41" i="4"/>
  <c r="F42" i="4" s="1"/>
  <c r="E38" i="3"/>
  <c r="S13" i="4"/>
  <c r="L11" i="4"/>
  <c r="L25" i="4"/>
  <c r="F71" i="1"/>
  <c r="F6" i="2" s="1"/>
  <c r="K13" i="5"/>
  <c r="D15" i="2"/>
  <c r="P17" i="4"/>
  <c r="U83" i="4"/>
  <c r="V83" i="4" s="1"/>
  <c r="C82" i="2"/>
  <c r="X32" i="4"/>
  <c r="X34" i="4" s="1"/>
  <c r="S25" i="4"/>
  <c r="I18" i="4"/>
  <c r="N38" i="4"/>
  <c r="P58" i="4"/>
  <c r="P59" i="4" s="1"/>
  <c r="D82" i="2"/>
  <c r="G36" i="2"/>
  <c r="J57" i="2"/>
  <c r="I59" i="2"/>
  <c r="J59" i="2"/>
  <c r="I54" i="2"/>
  <c r="AM24" i="5"/>
  <c r="AB13" i="5"/>
  <c r="AF62" i="5"/>
  <c r="AM13" i="5"/>
  <c r="C15" i="2"/>
  <c r="Y31" i="4"/>
  <c r="AC83" i="4"/>
  <c r="L9" i="4"/>
  <c r="K15" i="4"/>
  <c r="N36" i="4"/>
  <c r="AJ17" i="4"/>
  <c r="AF59" i="4"/>
  <c r="E30" i="4"/>
  <c r="E41" i="4" s="1"/>
  <c r="E42" i="4" s="1"/>
  <c r="AH48" i="4"/>
  <c r="AK30" i="4"/>
  <c r="AK41" i="4" s="1"/>
  <c r="AK51" i="4" s="1"/>
  <c r="AK56" i="4" s="1"/>
  <c r="AM57" i="4" s="1"/>
  <c r="AB36" i="4"/>
  <c r="G46" i="2"/>
  <c r="N27" i="4"/>
  <c r="AB27" i="4"/>
  <c r="U32" i="4"/>
  <c r="U34" i="4" s="1"/>
  <c r="AI32" i="4"/>
  <c r="AI34" i="4" s="1"/>
  <c r="N20" i="4"/>
  <c r="S16" i="4"/>
  <c r="P61" i="5"/>
  <c r="E74" i="2"/>
  <c r="AA83" i="4"/>
  <c r="AB83" i="4" s="1"/>
  <c r="AB13" i="4"/>
  <c r="AA32" i="4"/>
  <c r="AA34" i="4" s="1"/>
  <c r="C41" i="4"/>
  <c r="N59" i="4"/>
  <c r="AA15" i="4"/>
  <c r="Y54" i="4"/>
  <c r="G9" i="3"/>
  <c r="K41" i="4"/>
  <c r="K51" i="4" s="1"/>
  <c r="S7" i="4"/>
  <c r="V62" i="5"/>
  <c r="AH13" i="5"/>
  <c r="N52" i="4"/>
  <c r="M20" i="5"/>
  <c r="G46" i="4"/>
  <c r="H74" i="2"/>
  <c r="H24" i="5"/>
  <c r="N24" i="5"/>
  <c r="M9" i="5"/>
  <c r="Q7" i="5"/>
  <c r="AA62" i="5"/>
  <c r="G9" i="5"/>
  <c r="J13" i="5"/>
  <c r="AC13" i="5"/>
  <c r="AB16" i="4"/>
  <c r="AB18" i="4" s="1"/>
  <c r="F36" i="2"/>
  <c r="Y15" i="4"/>
  <c r="V53" i="4"/>
  <c r="V58" i="4" s="1"/>
  <c r="AH36" i="4"/>
  <c r="B82" i="2"/>
  <c r="O83" i="4"/>
  <c r="J62" i="5"/>
  <c r="O77" i="5"/>
  <c r="N78" i="4"/>
  <c r="V24" i="5"/>
  <c r="AB75" i="4"/>
  <c r="AB79" i="4" s="1"/>
  <c r="AB25" i="4"/>
  <c r="N54" i="4"/>
  <c r="AF24" i="5"/>
  <c r="AB7" i="4"/>
  <c r="N75" i="4"/>
  <c r="AI78" i="5"/>
  <c r="H54" i="3" s="1"/>
  <c r="Q11" i="5"/>
  <c r="S56" i="4"/>
  <c r="AF83" i="4"/>
  <c r="AJ42" i="4"/>
  <c r="AJ15" i="4"/>
  <c r="AH38" i="4"/>
  <c r="AA17" i="4"/>
  <c r="L27" i="4"/>
  <c r="V75" i="4"/>
  <c r="V79" i="4" s="1"/>
  <c r="AK61" i="5"/>
  <c r="AP61" i="5"/>
  <c r="AE24" i="5"/>
  <c r="G27" i="2"/>
  <c r="F41" i="1"/>
  <c r="I83" i="4"/>
  <c r="G41" i="1"/>
  <c r="Q56" i="4"/>
  <c r="Q57" i="4" s="1"/>
  <c r="Q52" i="4"/>
  <c r="S38" i="4"/>
  <c r="L38" i="4"/>
  <c r="AL46" i="4"/>
  <c r="AH46" i="4"/>
  <c r="F18" i="4"/>
  <c r="F32" i="4"/>
  <c r="F33" i="4" s="1"/>
  <c r="K17" i="4"/>
  <c r="E56" i="2"/>
  <c r="E57" i="2" s="1"/>
  <c r="N57" i="4"/>
  <c r="C18" i="2"/>
  <c r="C17" i="2"/>
  <c r="L14" i="4"/>
  <c r="S15" i="4" s="1"/>
  <c r="H30" i="4"/>
  <c r="H31" i="4" s="1"/>
  <c r="O30" i="4"/>
  <c r="O41" i="4" s="1"/>
  <c r="O51" i="4" s="1"/>
  <c r="O52" i="4" s="1"/>
  <c r="O15" i="4"/>
  <c r="AH11" i="4"/>
  <c r="AB11" i="4"/>
  <c r="AB92" i="4"/>
  <c r="AB96" i="4" s="1"/>
  <c r="H96" i="4"/>
  <c r="L96" i="4" s="1"/>
  <c r="L92" i="4"/>
  <c r="AB22" i="4"/>
  <c r="AB23" i="4"/>
  <c r="X30" i="4"/>
  <c r="X41" i="4" s="1"/>
  <c r="AD42" i="4" s="1"/>
  <c r="X15" i="4"/>
  <c r="F77" i="2"/>
  <c r="Y18" i="4"/>
  <c r="V16" i="4"/>
  <c r="T32" i="4"/>
  <c r="T34" i="4" s="1"/>
  <c r="T18" i="4"/>
  <c r="AE33" i="4"/>
  <c r="AI30" i="4"/>
  <c r="AI41" i="4" s="1"/>
  <c r="AI42" i="4" s="1"/>
  <c r="AI15" i="4"/>
  <c r="F83" i="4"/>
  <c r="G83" i="4" s="1"/>
  <c r="L52" i="5"/>
  <c r="L53" i="5"/>
  <c r="AJ51" i="4"/>
  <c r="S11" i="4"/>
  <c r="AE61" i="5"/>
  <c r="AE62" i="5"/>
  <c r="AF54" i="4"/>
  <c r="Z54" i="4"/>
  <c r="J18" i="4"/>
  <c r="AE92" i="4"/>
  <c r="AE96" i="4" s="1"/>
  <c r="G95" i="2" s="1"/>
  <c r="G86" i="2"/>
  <c r="G91" i="2" s="1"/>
  <c r="P18" i="4"/>
  <c r="P32" i="4"/>
  <c r="P34" i="4" s="1"/>
  <c r="U53" i="5"/>
  <c r="W61" i="5"/>
  <c r="AH53" i="4"/>
  <c r="AL54" i="4" s="1"/>
  <c r="AB38" i="4"/>
  <c r="AD17" i="4"/>
  <c r="AH24" i="5"/>
  <c r="F47" i="3"/>
  <c r="W13" i="5"/>
  <c r="V92" i="4"/>
  <c r="V96" i="4" s="1"/>
  <c r="AB9" i="4"/>
  <c r="Y59" i="4"/>
  <c r="W53" i="4"/>
  <c r="W58" i="4" s="1"/>
  <c r="AD15" i="4"/>
  <c r="AH50" i="4"/>
  <c r="W83" i="4"/>
  <c r="H32" i="4"/>
  <c r="L32" i="4" s="1"/>
  <c r="L34" i="4" s="1"/>
  <c r="AH13" i="4"/>
  <c r="Q54" i="4"/>
  <c r="L23" i="4"/>
  <c r="B12" i="3"/>
  <c r="R16" i="4"/>
  <c r="R32" i="4" s="1"/>
  <c r="P83" i="4"/>
  <c r="G92" i="4"/>
  <c r="AH44" i="4"/>
  <c r="G25" i="2"/>
  <c r="AE34" i="4"/>
  <c r="AG24" i="5"/>
  <c r="AI24" i="5"/>
  <c r="F9" i="2"/>
  <c r="K58" i="4"/>
  <c r="X77" i="5"/>
  <c r="E91" i="2"/>
  <c r="E95" i="2" s="1"/>
  <c r="G23" i="2"/>
  <c r="Q83" i="4"/>
  <c r="E83" i="4"/>
  <c r="O78" i="5"/>
  <c r="D15" i="4"/>
  <c r="G14" i="4"/>
  <c r="D30" i="4"/>
  <c r="R25" i="4"/>
  <c r="R87" i="4"/>
  <c r="S87" i="4" s="1"/>
  <c r="S36" i="4"/>
  <c r="L36" i="4"/>
  <c r="AE15" i="4"/>
  <c r="AE30" i="4"/>
  <c r="AE31" i="4" s="1"/>
  <c r="AK78" i="4"/>
  <c r="AJ83" i="4"/>
  <c r="AK83" i="4" s="1"/>
  <c r="G48" i="4"/>
  <c r="N48" i="4"/>
  <c r="E69" i="1"/>
  <c r="F69" i="1"/>
  <c r="AE18" i="4"/>
  <c r="N18" i="4"/>
  <c r="AI17" i="4"/>
  <c r="AC18" i="4"/>
  <c r="D18" i="2"/>
  <c r="D17" i="2"/>
  <c r="X17" i="4"/>
  <c r="M17" i="4"/>
  <c r="Q18" i="4"/>
  <c r="Q32" i="4"/>
  <c r="Q17" i="4"/>
  <c r="G22" i="4"/>
  <c r="L22" i="4"/>
  <c r="G23" i="4"/>
  <c r="H16" i="2"/>
  <c r="H23" i="2"/>
  <c r="Y51" i="4"/>
  <c r="P56" i="4"/>
  <c r="P57" i="4" s="1"/>
  <c r="AE17" i="4"/>
  <c r="AC32" i="4"/>
  <c r="AD83" i="4"/>
  <c r="AE83" i="4" s="1"/>
  <c r="AE78" i="4"/>
  <c r="AH92" i="4"/>
  <c r="AH96" i="4" s="1"/>
  <c r="G96" i="4"/>
  <c r="D6" i="2"/>
  <c r="D7" i="2" s="1"/>
  <c r="G7" i="4"/>
  <c r="N7" i="4"/>
  <c r="E18" i="4"/>
  <c r="E32" i="4"/>
  <c r="J33" i="4" s="1"/>
  <c r="J17" i="4"/>
  <c r="G11" i="2"/>
  <c r="F59" i="2"/>
  <c r="AJ31" i="4"/>
  <c r="AD13" i="5"/>
  <c r="R22" i="5"/>
  <c r="K77" i="5"/>
  <c r="AM17" i="4"/>
  <c r="AK32" i="4"/>
  <c r="AK33" i="4" s="1"/>
  <c r="H33" i="2" s="1"/>
  <c r="M18" i="4"/>
  <c r="AH77" i="5"/>
  <c r="G13" i="2"/>
  <c r="AN77" i="5"/>
  <c r="H52" i="3"/>
  <c r="I53" i="3" s="1"/>
  <c r="L48" i="4"/>
  <c r="S48" i="4"/>
  <c r="E71" i="1"/>
  <c r="M15" i="4"/>
  <c r="G50" i="4"/>
  <c r="N50" i="4"/>
  <c r="AF32" i="4"/>
  <c r="AF34" i="4" s="1"/>
  <c r="AF18" i="4"/>
  <c r="AB46" i="4"/>
  <c r="G50" i="2"/>
  <c r="E77" i="2"/>
  <c r="V13" i="5"/>
  <c r="Z59" i="4"/>
  <c r="L53" i="4"/>
  <c r="L54" i="4" s="1"/>
  <c r="F16" i="2"/>
  <c r="F18" i="2" s="1"/>
  <c r="F20" i="2"/>
  <c r="AH25" i="4"/>
  <c r="Y17" i="4"/>
  <c r="H14" i="2"/>
  <c r="U75" i="5"/>
  <c r="R14" i="4"/>
  <c r="H15" i="4"/>
  <c r="J83" i="4"/>
  <c r="S92" i="4"/>
  <c r="I24" i="5"/>
  <c r="AI83" i="4"/>
  <c r="AG61" i="5"/>
  <c r="K83" i="4"/>
  <c r="L83" i="4" s="1"/>
  <c r="F74" i="2"/>
  <c r="F78" i="2" s="1"/>
  <c r="AB50" i="4"/>
  <c r="E23" i="2"/>
  <c r="G38" i="2"/>
  <c r="L50" i="4"/>
  <c r="N25" i="4"/>
  <c r="U60" i="5"/>
  <c r="AA61" i="5" s="1"/>
  <c r="AB24" i="5"/>
  <c r="D6" i="3"/>
  <c r="E7" i="3" s="1"/>
  <c r="N13" i="5"/>
  <c r="Q9" i="5"/>
  <c r="I78" i="5"/>
  <c r="M11" i="5"/>
  <c r="B39" i="3"/>
  <c r="R78" i="5"/>
  <c r="Y62" i="5"/>
  <c r="Y78" i="5"/>
  <c r="AA52" i="5"/>
  <c r="H78" i="5"/>
  <c r="D8" i="3"/>
  <c r="E9" i="3" s="1"/>
  <c r="AJ13" i="5"/>
  <c r="I13" i="5"/>
  <c r="N78" i="5"/>
  <c r="AE13" i="5"/>
  <c r="AG13" i="5"/>
  <c r="Z12" i="5"/>
  <c r="L9" i="5"/>
  <c r="N62" i="5"/>
  <c r="U23" i="5"/>
  <c r="AA24" i="5" s="1"/>
  <c r="L76" i="5"/>
  <c r="R77" i="5" s="1"/>
  <c r="Y61" i="5"/>
  <c r="U69" i="5"/>
  <c r="X78" i="5"/>
  <c r="AD24" i="5"/>
  <c r="AF13" i="5"/>
  <c r="M22" i="5"/>
  <c r="X13" i="5"/>
  <c r="AD78" i="5"/>
  <c r="U72" i="5"/>
  <c r="J24" i="5"/>
  <c r="H62" i="5"/>
  <c r="H37" i="3"/>
  <c r="I38" i="3" s="1"/>
  <c r="P77" i="5"/>
  <c r="U59" i="5"/>
  <c r="D17" i="3"/>
  <c r="D18" i="3" s="1"/>
  <c r="Z23" i="5"/>
  <c r="D21" i="3"/>
  <c r="E22" i="3" s="1"/>
  <c r="O24" i="5"/>
  <c r="J77" i="5"/>
  <c r="O13" i="5"/>
  <c r="AB61" i="5"/>
  <c r="X62" i="5"/>
  <c r="W24" i="5"/>
  <c r="P24" i="5"/>
  <c r="N61" i="5"/>
  <c r="AA18" i="5"/>
  <c r="P62" i="5"/>
  <c r="AD62" i="5"/>
  <c r="AE77" i="5"/>
  <c r="P78" i="5"/>
  <c r="G18" i="5"/>
  <c r="AH62" i="5"/>
  <c r="T78" i="5"/>
  <c r="Y77" i="5"/>
  <c r="Q12" i="5"/>
  <c r="Q13" i="5" s="1"/>
  <c r="J78" i="5"/>
  <c r="L18" i="5"/>
  <c r="AI62" i="5"/>
  <c r="H39" i="3" s="1"/>
  <c r="V78" i="5"/>
  <c r="Y13" i="5"/>
  <c r="P13" i="5"/>
  <c r="L22" i="5"/>
  <c r="AN61" i="5"/>
  <c r="E12" i="3"/>
  <c r="H12" i="3"/>
  <c r="I13" i="3" s="1"/>
  <c r="F29" i="3"/>
  <c r="H47" i="3"/>
  <c r="F44" i="3"/>
  <c r="F32" i="3"/>
  <c r="G22" i="3"/>
  <c r="C11" i="3"/>
  <c r="E32" i="3"/>
  <c r="G18" i="3"/>
  <c r="E35" i="3"/>
  <c r="H7" i="3"/>
  <c r="B10" i="5"/>
  <c r="G11" i="5" s="1"/>
  <c r="C54" i="3"/>
  <c r="G22" i="5"/>
  <c r="D22" i="3" s="1"/>
  <c r="G32" i="3"/>
  <c r="F12" i="3"/>
  <c r="F23" i="3"/>
  <c r="H22" i="3"/>
  <c r="I22" i="3"/>
  <c r="H29" i="3"/>
  <c r="F50" i="3"/>
  <c r="E50" i="3"/>
  <c r="G47" i="3"/>
  <c r="H11" i="3"/>
  <c r="G20" i="3"/>
  <c r="D11" i="3"/>
  <c r="D53" i="3"/>
  <c r="AH78" i="5"/>
  <c r="AC78" i="5"/>
  <c r="G54" i="3" s="1"/>
  <c r="M78" i="5"/>
  <c r="E54" i="3" s="1"/>
  <c r="V77" i="5"/>
  <c r="L69" i="5"/>
  <c r="R68" i="5"/>
  <c r="N77" i="5"/>
  <c r="AI77" i="5"/>
  <c r="AC77" i="5"/>
  <c r="U76" i="5"/>
  <c r="E52" i="3"/>
  <c r="E53" i="3" s="1"/>
  <c r="AD56" i="4"/>
  <c r="AK62" i="5"/>
  <c r="AK78" i="5"/>
  <c r="AG83" i="4"/>
  <c r="AH83" i="4" s="1"/>
  <c r="AH78" i="4"/>
  <c r="E38" i="2"/>
  <c r="F38" i="2"/>
  <c r="S78" i="5"/>
  <c r="S62" i="5"/>
  <c r="AI13" i="5"/>
  <c r="AA54" i="4"/>
  <c r="AA58" i="4"/>
  <c r="AB53" i="4"/>
  <c r="AC56" i="4"/>
  <c r="G44" i="3"/>
  <c r="H44" i="3"/>
  <c r="AK18" i="4"/>
  <c r="AK17" i="4"/>
  <c r="X83" i="4"/>
  <c r="Y83" i="4" s="1"/>
  <c r="Y78" i="4"/>
  <c r="F22" i="2"/>
  <c r="F23" i="2"/>
  <c r="F13" i="2"/>
  <c r="E16" i="2"/>
  <c r="E32" i="2" s="1"/>
  <c r="AC58" i="4"/>
  <c r="Z30" i="4"/>
  <c r="AB14" i="4"/>
  <c r="Z15" i="4"/>
  <c r="AF15" i="4"/>
  <c r="G53" i="3"/>
  <c r="AK24" i="5"/>
  <c r="AJ24" i="5"/>
  <c r="AA9" i="5"/>
  <c r="U12" i="5"/>
  <c r="AA13" i="5" s="1"/>
  <c r="L44" i="4"/>
  <c r="X54" i="4"/>
  <c r="AD54" i="4"/>
  <c r="X58" i="4"/>
  <c r="X59" i="4" s="1"/>
  <c r="Z17" i="4"/>
  <c r="AF17" i="4"/>
  <c r="Z18" i="4"/>
  <c r="Z32" i="4"/>
  <c r="AB78" i="5"/>
  <c r="AB77" i="5"/>
  <c r="G69" i="1"/>
  <c r="H69" i="1"/>
  <c r="S46" i="4"/>
  <c r="L46" i="4"/>
  <c r="AA41" i="4"/>
  <c r="AA31" i="4"/>
  <c r="AF78" i="5"/>
  <c r="AD61" i="5"/>
  <c r="E13" i="2"/>
  <c r="W16" i="4"/>
  <c r="AE58" i="4"/>
  <c r="AE54" i="4"/>
  <c r="AK54" i="4"/>
  <c r="AL22" i="4"/>
  <c r="AH22" i="4"/>
  <c r="Y33" i="4"/>
  <c r="N34" i="4"/>
  <c r="AG6" i="4"/>
  <c r="AK13" i="5"/>
  <c r="M62" i="5"/>
  <c r="E39" i="3" s="1"/>
  <c r="M61" i="5"/>
  <c r="W78" i="5"/>
  <c r="F54" i="3" s="1"/>
  <c r="AC9" i="4"/>
  <c r="W23" i="4"/>
  <c r="AB20" i="4"/>
  <c r="AH20" i="4"/>
  <c r="E11" i="2"/>
  <c r="E14" i="2"/>
  <c r="E30" i="2" s="1"/>
  <c r="E41" i="2" s="1"/>
  <c r="E42" i="2" s="1"/>
  <c r="E20" i="3"/>
  <c r="F20" i="3"/>
  <c r="E23" i="3"/>
  <c r="AH61" i="5"/>
  <c r="AB62" i="5"/>
  <c r="E41" i="1"/>
  <c r="D71" i="1"/>
  <c r="D72" i="1" s="1"/>
  <c r="C12" i="3"/>
  <c r="B12" i="5" s="1"/>
  <c r="B6" i="5"/>
  <c r="G7" i="5" s="1"/>
  <c r="C7" i="3"/>
  <c r="G13" i="4"/>
  <c r="N13" i="4"/>
  <c r="L7" i="5"/>
  <c r="R7" i="5"/>
  <c r="R11" i="5"/>
  <c r="L11" i="5"/>
  <c r="G12" i="5"/>
  <c r="M13" i="5" s="1"/>
  <c r="C13" i="5"/>
  <c r="L56" i="5"/>
  <c r="L20" i="5"/>
  <c r="G23" i="5"/>
  <c r="F24" i="5"/>
  <c r="K24" i="5"/>
  <c r="L23" i="5"/>
  <c r="K78" i="5"/>
  <c r="K62" i="5"/>
  <c r="R58" i="5"/>
  <c r="L58" i="5"/>
  <c r="L59" i="5"/>
  <c r="L60" i="5"/>
  <c r="I62" i="5"/>
  <c r="O62" i="5"/>
  <c r="O61" i="5"/>
  <c r="B30" i="5"/>
  <c r="G20" i="5"/>
  <c r="D20" i="3" s="1"/>
  <c r="D44" i="3"/>
  <c r="E44" i="3"/>
  <c r="AF52" i="5"/>
  <c r="Z60" i="5"/>
  <c r="AF61" i="5" s="1"/>
  <c r="AL27" i="4"/>
  <c r="AH27" i="4"/>
  <c r="G53" i="2"/>
  <c r="H54" i="2" s="1"/>
  <c r="G23" i="1"/>
  <c r="G71" i="1"/>
  <c r="H23" i="1"/>
  <c r="T62" i="5"/>
  <c r="AD77" i="5"/>
  <c r="AG62" i="5"/>
  <c r="G20" i="2"/>
  <c r="AK15" i="4"/>
  <c r="M31" i="4"/>
  <c r="AG78" i="5"/>
  <c r="Y24" i="5"/>
  <c r="H13" i="5"/>
  <c r="W62" i="5"/>
  <c r="F39" i="3" s="1"/>
  <c r="X24" i="5"/>
  <c r="G11" i="3"/>
  <c r="Z76" i="5"/>
  <c r="AF77" i="5" s="1"/>
  <c r="AF71" i="5"/>
  <c r="AK77" i="5"/>
  <c r="AJ54" i="4"/>
  <c r="AK92" i="4"/>
  <c r="AK96" i="4" s="1"/>
  <c r="H95" i="2" s="1"/>
  <c r="H86" i="2"/>
  <c r="H91" i="2" s="1"/>
  <c r="AB44" i="4"/>
  <c r="T30" i="4"/>
  <c r="V14" i="4"/>
  <c r="F35" i="3"/>
  <c r="F7" i="3"/>
  <c r="AC61" i="5"/>
  <c r="AC62" i="5"/>
  <c r="G39" i="3" s="1"/>
  <c r="G37" i="3"/>
  <c r="G38" i="3" s="1"/>
  <c r="F25" i="2"/>
  <c r="D41" i="1"/>
  <c r="R20" i="5"/>
  <c r="C32" i="4"/>
  <c r="G16" i="4"/>
  <c r="H17" i="4"/>
  <c r="C17" i="4"/>
  <c r="O17" i="4"/>
  <c r="O32" i="4"/>
  <c r="R23" i="4"/>
  <c r="R22" i="4"/>
  <c r="F38" i="3"/>
  <c r="AG54" i="4"/>
  <c r="L20" i="4"/>
  <c r="S20" i="4"/>
  <c r="AJ59" i="4"/>
  <c r="M34" i="4"/>
  <c r="I15" i="4"/>
  <c r="I30" i="4"/>
  <c r="P15" i="4"/>
  <c r="AC24" i="5"/>
  <c r="AI54" i="4"/>
  <c r="F14" i="2"/>
  <c r="L13" i="4"/>
  <c r="H71" i="1"/>
  <c r="I72" i="1" s="1"/>
  <c r="H41" i="1"/>
  <c r="AA22" i="5"/>
  <c r="E23" i="1"/>
  <c r="F23" i="1"/>
  <c r="J15" i="4"/>
  <c r="J30" i="4"/>
  <c r="Q15" i="4"/>
  <c r="D32" i="4"/>
  <c r="D18" i="4"/>
  <c r="I17" i="4"/>
  <c r="L16" i="4"/>
  <c r="L12" i="5"/>
  <c r="U56" i="5"/>
  <c r="L71" i="5"/>
  <c r="R71" i="5"/>
  <c r="H18" i="3"/>
  <c r="H32" i="3"/>
  <c r="E47" i="3"/>
  <c r="G77" i="2"/>
  <c r="W77" i="5"/>
  <c r="AG8" i="4"/>
  <c r="AE78" i="5"/>
  <c r="G35" i="3"/>
  <c r="H83" i="4"/>
  <c r="M83" i="4"/>
  <c r="S96" i="4"/>
  <c r="R74" i="5"/>
  <c r="L74" i="5"/>
  <c r="H20" i="3"/>
  <c r="H35" i="3"/>
  <c r="F46" i="2"/>
  <c r="F18" i="3"/>
  <c r="H50" i="3"/>
  <c r="G23" i="3"/>
  <c r="F9" i="3"/>
  <c r="C7" i="2"/>
  <c r="B54" i="3"/>
  <c r="C53" i="3"/>
  <c r="C38" i="3"/>
  <c r="D38" i="3"/>
  <c r="G9" i="4"/>
  <c r="N9" i="4"/>
  <c r="H77" i="2"/>
  <c r="G74" i="2"/>
  <c r="G7" i="3"/>
  <c r="C9" i="3"/>
  <c r="F91" i="2"/>
  <c r="F11" i="3"/>
  <c r="E29" i="3"/>
  <c r="H9" i="3"/>
  <c r="F48" i="2"/>
  <c r="F50" i="2"/>
  <c r="F27" i="2"/>
  <c r="AL24" i="5"/>
  <c r="AL13" i="5"/>
  <c r="H23" i="3"/>
  <c r="I24" i="3" s="1"/>
  <c r="F11" i="2"/>
  <c r="G14" i="2"/>
  <c r="C24" i="3"/>
  <c r="G9" i="2"/>
  <c r="F22" i="3"/>
  <c r="G50" i="3"/>
  <c r="G22" i="2"/>
  <c r="G16" i="2"/>
  <c r="B23" i="5"/>
  <c r="G29" i="3"/>
  <c r="E22" i="2"/>
  <c r="D50" i="3"/>
  <c r="G12" i="3"/>
  <c r="G48" i="2"/>
  <c r="E11" i="3"/>
  <c r="C39" i="3"/>
  <c r="H70" i="2" l="1"/>
  <c r="E70" i="2"/>
  <c r="N79" i="4"/>
  <c r="G70" i="2"/>
  <c r="W30" i="4"/>
  <c r="AC31" i="4" s="1"/>
  <c r="F70" i="2"/>
  <c r="G78" i="2"/>
  <c r="H78" i="2"/>
  <c r="E78" i="2"/>
  <c r="Y79" i="4"/>
  <c r="AK79" i="4"/>
  <c r="AE79" i="4"/>
  <c r="AH79" i="4"/>
  <c r="H34" i="4"/>
  <c r="AJ33" i="4"/>
  <c r="AD33" i="4"/>
  <c r="X33" i="4"/>
  <c r="E31" i="4"/>
  <c r="R18" i="4"/>
  <c r="AM42" i="4"/>
  <c r="I42" i="2" s="1"/>
  <c r="P33" i="4"/>
  <c r="AI31" i="4"/>
  <c r="R17" i="4"/>
  <c r="E72" i="1"/>
  <c r="H41" i="4"/>
  <c r="H42" i="4" s="1"/>
  <c r="M42" i="4"/>
  <c r="AA33" i="4"/>
  <c r="F72" i="1"/>
  <c r="H30" i="2"/>
  <c r="H41" i="2" s="1"/>
  <c r="E6" i="2"/>
  <c r="E7" i="2" s="1"/>
  <c r="H82" i="2"/>
  <c r="H33" i="4"/>
  <c r="AM31" i="4"/>
  <c r="X31" i="4"/>
  <c r="F15" i="2"/>
  <c r="F82" i="2"/>
  <c r="H15" i="2"/>
  <c r="I15" i="2"/>
  <c r="H18" i="2"/>
  <c r="H17" i="2"/>
  <c r="I17" i="2"/>
  <c r="AM52" i="4"/>
  <c r="L51" i="4"/>
  <c r="K56" i="4"/>
  <c r="E82" i="2"/>
  <c r="S32" i="4"/>
  <c r="S33" i="4" s="1"/>
  <c r="S18" i="4"/>
  <c r="K52" i="4"/>
  <c r="K42" i="4"/>
  <c r="D7" i="3"/>
  <c r="D12" i="3"/>
  <c r="D13" i="3" s="1"/>
  <c r="H56" i="2"/>
  <c r="F34" i="4"/>
  <c r="AB17" i="4"/>
  <c r="N83" i="4"/>
  <c r="H51" i="2"/>
  <c r="R33" i="4"/>
  <c r="R34" i="4"/>
  <c r="X51" i="4"/>
  <c r="X42" i="4"/>
  <c r="AD59" i="4"/>
  <c r="F30" i="2"/>
  <c r="F41" i="2" s="1"/>
  <c r="F42" i="2" s="1"/>
  <c r="M33" i="4"/>
  <c r="O31" i="4"/>
  <c r="K33" i="4"/>
  <c r="AI51" i="4"/>
  <c r="AI56" i="4" s="1"/>
  <c r="AI57" i="4" s="1"/>
  <c r="K59" i="4"/>
  <c r="L58" i="4"/>
  <c r="L59" i="4" s="1"/>
  <c r="AD31" i="4"/>
  <c r="AJ56" i="4"/>
  <c r="AJ57" i="4" s="1"/>
  <c r="AJ52" i="4"/>
  <c r="AC54" i="4"/>
  <c r="H53" i="3"/>
  <c r="V32" i="4"/>
  <c r="AC34" i="4"/>
  <c r="AI33" i="4"/>
  <c r="Q34" i="4"/>
  <c r="Q33" i="4"/>
  <c r="AK31" i="4"/>
  <c r="H31" i="2" s="1"/>
  <c r="AE41" i="4"/>
  <c r="G30" i="4"/>
  <c r="D41" i="4"/>
  <c r="D31" i="4"/>
  <c r="F32" i="2"/>
  <c r="F33" i="2" s="1"/>
  <c r="R15" i="4"/>
  <c r="R30" i="4"/>
  <c r="H32" i="2"/>
  <c r="I33" i="2" s="1"/>
  <c r="AM33" i="4"/>
  <c r="AK34" i="4"/>
  <c r="H34" i="2" s="1"/>
  <c r="E34" i="4"/>
  <c r="E33" i="4"/>
  <c r="G15" i="4"/>
  <c r="N15" i="4"/>
  <c r="L15" i="4"/>
  <c r="Y56" i="4"/>
  <c r="Y52" i="4"/>
  <c r="D23" i="3"/>
  <c r="D24" i="3" s="1"/>
  <c r="D9" i="3"/>
  <c r="U62" i="5"/>
  <c r="L77" i="5"/>
  <c r="E18" i="3"/>
  <c r="F13" i="3"/>
  <c r="C13" i="3"/>
  <c r="B32" i="5"/>
  <c r="G24" i="3"/>
  <c r="G13" i="3"/>
  <c r="F24" i="3"/>
  <c r="U78" i="5"/>
  <c r="AA77" i="5"/>
  <c r="F53" i="3"/>
  <c r="V30" i="4"/>
  <c r="T41" i="4"/>
  <c r="L62" i="5"/>
  <c r="L61" i="5"/>
  <c r="AC59" i="4"/>
  <c r="AI59" i="4"/>
  <c r="E31" i="2"/>
  <c r="H38" i="3"/>
  <c r="G72" i="1"/>
  <c r="G6" i="2"/>
  <c r="G7" i="2" s="1"/>
  <c r="L78" i="5"/>
  <c r="L24" i="5"/>
  <c r="AB54" i="4"/>
  <c r="AB58" i="4"/>
  <c r="B28" i="5"/>
  <c r="G13" i="5"/>
  <c r="L13" i="5"/>
  <c r="D34" i="4"/>
  <c r="D33" i="4"/>
  <c r="I33" i="4"/>
  <c r="N17" i="4"/>
  <c r="G18" i="4"/>
  <c r="G17" i="4"/>
  <c r="AH54" i="4"/>
  <c r="R13" i="5"/>
  <c r="AH6" i="4"/>
  <c r="AG7" i="4"/>
  <c r="AC17" i="4"/>
  <c r="W18" i="4"/>
  <c r="W32" i="4"/>
  <c r="AB32" i="4"/>
  <c r="Z34" i="4"/>
  <c r="AF33" i="4"/>
  <c r="Z33" i="4"/>
  <c r="AB15" i="4"/>
  <c r="E18" i="2"/>
  <c r="E17" i="2"/>
  <c r="F17" i="2"/>
  <c r="AA59" i="4"/>
  <c r="AG59" i="4"/>
  <c r="J41" i="4"/>
  <c r="J31" i="4"/>
  <c r="Q31" i="4"/>
  <c r="H6" i="2"/>
  <c r="I7" i="2" s="1"/>
  <c r="H72" i="1"/>
  <c r="I41" i="4"/>
  <c r="I31" i="4"/>
  <c r="M24" i="5"/>
  <c r="E15" i="2"/>
  <c r="P31" i="4"/>
  <c r="H24" i="3"/>
  <c r="AG23" i="4"/>
  <c r="AG14" i="4"/>
  <c r="AG16" i="4"/>
  <c r="AG9" i="4"/>
  <c r="AH8" i="4"/>
  <c r="G82" i="2"/>
  <c r="L17" i="4"/>
  <c r="S17" i="4"/>
  <c r="L18" i="4"/>
  <c r="O33" i="4"/>
  <c r="O34" i="4"/>
  <c r="C33" i="4"/>
  <c r="C34" i="4"/>
  <c r="G32" i="4"/>
  <c r="L30" i="4"/>
  <c r="AE59" i="4"/>
  <c r="AK59" i="4"/>
  <c r="G58" i="2"/>
  <c r="AA51" i="4"/>
  <c r="AA42" i="4"/>
  <c r="AB30" i="4"/>
  <c r="Z41" i="4"/>
  <c r="Z31" i="4"/>
  <c r="AF31" i="4"/>
  <c r="G30" i="2"/>
  <c r="G41" i="2" s="1"/>
  <c r="G15" i="2"/>
  <c r="E51" i="2"/>
  <c r="E52" i="2" s="1"/>
  <c r="H13" i="3"/>
  <c r="G24" i="5"/>
  <c r="B34" i="5"/>
  <c r="G32" i="2"/>
  <c r="G18" i="2"/>
  <c r="G17" i="2"/>
  <c r="E33" i="2"/>
  <c r="E34" i="2"/>
  <c r="E43" i="2"/>
  <c r="G42" i="2" l="1"/>
  <c r="F7" i="2"/>
  <c r="F31" i="2"/>
  <c r="AI52" i="4"/>
  <c r="O42" i="4"/>
  <c r="I31" i="2"/>
  <c r="I57" i="2"/>
  <c r="G59" i="2"/>
  <c r="H59" i="2"/>
  <c r="I52" i="2"/>
  <c r="S43" i="4"/>
  <c r="S34" i="4"/>
  <c r="L56" i="4"/>
  <c r="K57" i="4"/>
  <c r="F43" i="2"/>
  <c r="F53" i="2" s="1"/>
  <c r="L52" i="4"/>
  <c r="S52" i="4"/>
  <c r="E13" i="3"/>
  <c r="X56" i="4"/>
  <c r="AD57" i="4" s="1"/>
  <c r="X52" i="4"/>
  <c r="AD52" i="4"/>
  <c r="F34" i="2"/>
  <c r="R41" i="4"/>
  <c r="R31" i="4"/>
  <c r="G31" i="4"/>
  <c r="N31" i="4"/>
  <c r="D42" i="4"/>
  <c r="G41" i="4"/>
  <c r="AB31" i="4"/>
  <c r="F56" i="2"/>
  <c r="F57" i="2" s="1"/>
  <c r="Y57" i="4"/>
  <c r="AE51" i="4"/>
  <c r="AK42" i="4"/>
  <c r="H42" i="2" s="1"/>
  <c r="AE42" i="4"/>
  <c r="E24" i="3"/>
  <c r="Z51" i="4"/>
  <c r="Z42" i="4"/>
  <c r="AB41" i="4"/>
  <c r="AF42" i="4"/>
  <c r="G34" i="4"/>
  <c r="G33" i="4"/>
  <c r="L33" i="4"/>
  <c r="N33" i="4"/>
  <c r="AG15" i="4"/>
  <c r="AH14" i="4"/>
  <c r="AG30" i="4"/>
  <c r="Q42" i="4"/>
  <c r="J42" i="4"/>
  <c r="AB59" i="4"/>
  <c r="AH59" i="4"/>
  <c r="AA56" i="4"/>
  <c r="AA57" i="4" s="1"/>
  <c r="AA52" i="4"/>
  <c r="AH9" i="4"/>
  <c r="AL9" i="4"/>
  <c r="AH23" i="4"/>
  <c r="H7" i="2"/>
  <c r="AB33" i="4"/>
  <c r="AB34" i="4"/>
  <c r="T51" i="4"/>
  <c r="V41" i="4"/>
  <c r="W41" i="4"/>
  <c r="L31" i="4"/>
  <c r="S31" i="4"/>
  <c r="AG32" i="4"/>
  <c r="AH16" i="4"/>
  <c r="AG17" i="4"/>
  <c r="AG18" i="4"/>
  <c r="I42" i="4"/>
  <c r="L41" i="4"/>
  <c r="P42" i="4"/>
  <c r="W34" i="4"/>
  <c r="AC33" i="4"/>
  <c r="AL7" i="4"/>
  <c r="AH7" i="4"/>
  <c r="F51" i="2"/>
  <c r="F52" i="2" s="1"/>
  <c r="E44" i="2"/>
  <c r="E53" i="2"/>
  <c r="E54" i="2" s="1"/>
  <c r="G31" i="2"/>
  <c r="G34" i="2"/>
  <c r="G33" i="2"/>
  <c r="G44" i="2" l="1"/>
  <c r="F44" i="2"/>
  <c r="L57" i="4"/>
  <c r="S57" i="4"/>
  <c r="S44" i="4"/>
  <c r="S53" i="4"/>
  <c r="R43" i="4"/>
  <c r="AE56" i="4"/>
  <c r="AK52" i="4"/>
  <c r="AE52" i="4"/>
  <c r="N42" i="4"/>
  <c r="G42" i="4"/>
  <c r="R51" i="4"/>
  <c r="R42" i="4"/>
  <c r="T56" i="4"/>
  <c r="V51" i="4"/>
  <c r="V56" i="4" s="1"/>
  <c r="AG41" i="4"/>
  <c r="AG31" i="4"/>
  <c r="AH30" i="4"/>
  <c r="AB42" i="4"/>
  <c r="L42" i="4"/>
  <c r="S42" i="4"/>
  <c r="AL17" i="4"/>
  <c r="AH17" i="4"/>
  <c r="AH18" i="4"/>
  <c r="W51" i="4"/>
  <c r="AC42" i="4"/>
  <c r="AL15" i="4"/>
  <c r="AH15" i="4"/>
  <c r="AG33" i="4"/>
  <c r="AH32" i="4"/>
  <c r="AG34" i="4"/>
  <c r="AF52" i="4"/>
  <c r="Z52" i="4"/>
  <c r="AB51" i="4"/>
  <c r="Z56" i="4"/>
  <c r="G51" i="2"/>
  <c r="F54" i="2"/>
  <c r="G54" i="2"/>
  <c r="G52" i="2" l="1"/>
  <c r="H52" i="2"/>
  <c r="S58" i="4"/>
  <c r="S59" i="4" s="1"/>
  <c r="S54" i="4"/>
  <c r="R44" i="4"/>
  <c r="R53" i="4"/>
  <c r="R56" i="4"/>
  <c r="R57" i="4" s="1"/>
  <c r="R52" i="4"/>
  <c r="G56" i="2"/>
  <c r="AE57" i="4"/>
  <c r="AK57" i="4"/>
  <c r="AB52" i="4"/>
  <c r="AB56" i="4"/>
  <c r="AH34" i="4"/>
  <c r="AL33" i="4"/>
  <c r="AH33" i="4"/>
  <c r="W56" i="4"/>
  <c r="AC57" i="4" s="1"/>
  <c r="AC52" i="4"/>
  <c r="AG51" i="4"/>
  <c r="AG42" i="4"/>
  <c r="AH41" i="4"/>
  <c r="Z57" i="4"/>
  <c r="AF57" i="4"/>
  <c r="AL31" i="4"/>
  <c r="AH31" i="4"/>
  <c r="G57" i="2" l="1"/>
  <c r="H57" i="2"/>
  <c r="R58" i="4"/>
  <c r="R59" i="4" s="1"/>
  <c r="R54" i="4"/>
  <c r="AG52" i="4"/>
  <c r="AH51" i="4"/>
  <c r="AG56" i="4"/>
  <c r="AG57" i="4" s="1"/>
  <c r="AH42" i="4"/>
  <c r="AL42" i="4"/>
  <c r="AB57" i="4"/>
  <c r="AH57" i="4"/>
  <c r="AH52" i="4" l="1"/>
  <c r="AL52" i="4"/>
  <c r="J63" i="1" l="1"/>
  <c r="J27" i="1"/>
  <c r="J29" i="1"/>
  <c r="J37" i="1" l="1"/>
  <c r="J69" i="1"/>
  <c r="J49" i="1"/>
  <c r="J39" i="1"/>
  <c r="J41" i="1" l="1"/>
  <c r="J72" i="1"/>
  <c r="J7" i="2" l="1"/>
  <c r="K7" i="2"/>
  <c r="P57" i="2" l="1"/>
  <c r="P59" i="2" l="1"/>
</calcChain>
</file>

<file path=xl/sharedStrings.xml><?xml version="1.0" encoding="utf-8"?>
<sst xmlns="http://schemas.openxmlformats.org/spreadsheetml/2006/main" count="1875" uniqueCount="215">
  <si>
    <t>Established</t>
  </si>
  <si>
    <t>Austria</t>
  </si>
  <si>
    <t>Greece</t>
  </si>
  <si>
    <t>Cyprus</t>
  </si>
  <si>
    <t>Ireland</t>
  </si>
  <si>
    <t>Italy</t>
  </si>
  <si>
    <t>Switzerland</t>
  </si>
  <si>
    <t>Developing</t>
  </si>
  <si>
    <t>Croatia</t>
  </si>
  <si>
    <t>Czech Republic</t>
  </si>
  <si>
    <t>Baltics</t>
  </si>
  <si>
    <t>Hungary</t>
  </si>
  <si>
    <t>Poland</t>
  </si>
  <si>
    <t>Slovakia</t>
  </si>
  <si>
    <t>Slovenia</t>
  </si>
  <si>
    <t>Emerging</t>
  </si>
  <si>
    <t>Armenia</t>
  </si>
  <si>
    <t>Belarus</t>
  </si>
  <si>
    <t>Bosnia</t>
  </si>
  <si>
    <t>Bulgaria</t>
  </si>
  <si>
    <t>Moldova</t>
  </si>
  <si>
    <t>Nigeria</t>
  </si>
  <si>
    <t>Romania</t>
  </si>
  <si>
    <t>Russia</t>
  </si>
  <si>
    <t>Ukraine</t>
  </si>
  <si>
    <t>Serbia&amp;Montenegro</t>
  </si>
  <si>
    <t>ADJUSTED</t>
  </si>
  <si>
    <t>COGS</t>
  </si>
  <si>
    <t>Comparable COGS</t>
  </si>
  <si>
    <t>Gross Profit</t>
  </si>
  <si>
    <t>Comparable Gross profit</t>
  </si>
  <si>
    <t>EBITDA</t>
  </si>
  <si>
    <t>Comparable EBITDA</t>
  </si>
  <si>
    <t>EBIT</t>
  </si>
  <si>
    <t>Comparable EBIT</t>
  </si>
  <si>
    <t>Profit before Tax</t>
  </si>
  <si>
    <t>Comparable Profit before Tax</t>
  </si>
  <si>
    <t>Tax</t>
  </si>
  <si>
    <t>Comparable Tax</t>
  </si>
  <si>
    <t>Net profit after Tax</t>
  </si>
  <si>
    <t>Comparable Net profit after Tax</t>
  </si>
  <si>
    <t>Volume</t>
  </si>
  <si>
    <t xml:space="preserve">Established </t>
  </si>
  <si>
    <t>Balance Sheet</t>
  </si>
  <si>
    <t>Total non-current assets</t>
  </si>
  <si>
    <t>Inventories</t>
  </si>
  <si>
    <t>Cash and cash equivalent</t>
  </si>
  <si>
    <t>Total assets</t>
  </si>
  <si>
    <t>Short-term borrowings</t>
  </si>
  <si>
    <t>Other current liabilities</t>
  </si>
  <si>
    <t>Total current liabilities</t>
  </si>
  <si>
    <t>Long-term borrowings</t>
  </si>
  <si>
    <t>Other non-current liabilities</t>
  </si>
  <si>
    <t>Total non-current liabilities</t>
  </si>
  <si>
    <t>Total equity</t>
  </si>
  <si>
    <t>Total equity and liabilities</t>
  </si>
  <si>
    <t>Cash Flow Statement</t>
  </si>
  <si>
    <t xml:space="preserve">Changes in Working Capital </t>
  </si>
  <si>
    <t>Tax paid</t>
  </si>
  <si>
    <t>Net cash from operation activities</t>
  </si>
  <si>
    <t>Free cash flow</t>
  </si>
  <si>
    <t>n/a</t>
  </si>
  <si>
    <t>NOTES</t>
  </si>
  <si>
    <t>Comparable Gross Profit Margin (%)</t>
  </si>
  <si>
    <t>Comparable EBIT Margin (%)</t>
  </si>
  <si>
    <t>2010*</t>
  </si>
  <si>
    <t>2011*</t>
  </si>
  <si>
    <t>2012*</t>
  </si>
  <si>
    <t>2013*</t>
  </si>
  <si>
    <t>FY09</t>
  </si>
  <si>
    <t>Q1</t>
  </si>
  <si>
    <t>Q2</t>
  </si>
  <si>
    <t>Q3</t>
  </si>
  <si>
    <t>Q4</t>
  </si>
  <si>
    <t>FY10</t>
  </si>
  <si>
    <t>FY11</t>
  </si>
  <si>
    <t>Q4*</t>
  </si>
  <si>
    <t>FY11*</t>
  </si>
  <si>
    <t>FY12</t>
  </si>
  <si>
    <t>Q1*</t>
  </si>
  <si>
    <t>Q2*</t>
  </si>
  <si>
    <t>Q3*</t>
  </si>
  <si>
    <t>FY12*</t>
  </si>
  <si>
    <t>&gt;100%</t>
  </si>
  <si>
    <t>Net profit/(loss) after Tax</t>
  </si>
  <si>
    <t>Comparable Net profit/(loss) after Tax</t>
  </si>
  <si>
    <t>No of Shares</t>
  </si>
  <si>
    <t xml:space="preserve">Profit &amp; Loss </t>
  </si>
  <si>
    <t>Comparable Gross Profit</t>
  </si>
  <si>
    <t>Operating expenses</t>
  </si>
  <si>
    <t>Comp. Operating Expenses</t>
  </si>
  <si>
    <t>Total net financing costs</t>
  </si>
  <si>
    <t>Share of results of equity method investments</t>
  </si>
  <si>
    <t>Non-controlling interest</t>
  </si>
  <si>
    <t>Basic Earnings per Share</t>
  </si>
  <si>
    <t>Comparable Basic  Earnings per Share</t>
  </si>
  <si>
    <t>Total current assets</t>
  </si>
  <si>
    <t>Adjusted EBITDA**</t>
  </si>
  <si>
    <t>Net Capital Expenditure***</t>
  </si>
  <si>
    <t>(*)  Financial information for fiscal years 2011 and 2012 reflects the group's adoption of IFRS 10 Consolidated Financial Statements, IFRS 11 Joint Arrangements, IFRS 12 Disclosure of Interest in other Entities and the revised IAS 19 Employee Benefits.</t>
  </si>
  <si>
    <t>(**) Adjusted EBITDA refers to operating profit before deductions for depreciation and impairment of property, plant and equipment (included both in cost of goods sold and in operating expenses), amortisation and impairment of intangible assets, employee share options and other non-cash items, if any.</t>
  </si>
  <si>
    <t>(***) Net capital expenditure is defined as payments for purchases of property, plant and equipment, net of proceeds from sales of property, plant and equipment including principal repayments of finance lease obligations.</t>
  </si>
  <si>
    <t>-</t>
  </si>
  <si>
    <t>Comparable EBIT margin (%)</t>
  </si>
  <si>
    <t>Comp. operating expenses (incl. D&amp;A)</t>
  </si>
  <si>
    <t>Total Net financing costs</t>
  </si>
  <si>
    <t>Comparable  Basic Earnings per Share</t>
  </si>
  <si>
    <t xml:space="preserve">Net Sales Revenue </t>
  </si>
  <si>
    <t>FY13*</t>
  </si>
  <si>
    <t>Comp. Operating Expenses/ NSR (%)</t>
  </si>
  <si>
    <t>Comparable OPEX/ NSR (%)</t>
  </si>
  <si>
    <t>H1</t>
  </si>
  <si>
    <t>H1*</t>
  </si>
  <si>
    <t>Concentrate</t>
  </si>
  <si>
    <t>PET</t>
  </si>
  <si>
    <t>Aluminium</t>
  </si>
  <si>
    <t>Productions overheads &amp; haulage</t>
  </si>
  <si>
    <t>Depreciation</t>
  </si>
  <si>
    <t>Total</t>
  </si>
  <si>
    <t>(% of total Cost of Goods Sold)</t>
  </si>
  <si>
    <t>FY</t>
  </si>
  <si>
    <t>(2) FX neutral revenue per case is calculated based on the assumption of what the prior period EUR revenue per case would have been if the foreign currency rates had remained the same to the comparable current year period. FX neutral net sales revenue per case is a non-GAAP financial indicators. Non-GAAP financial indicators are unaudited.</t>
  </si>
  <si>
    <t>2013</t>
  </si>
  <si>
    <t>FY14</t>
  </si>
  <si>
    <t>2014</t>
  </si>
  <si>
    <t>Comparable GP Margin</t>
  </si>
  <si>
    <t>(*) 2010, 2011, 2012 volume is adjusted to reflect the group’s adoption of IFRS 10 Consolidated Financial Statements, IFRS 11 Joint Arrangements, IFRS 12 Disclosure of Interest in Other Entities.</t>
  </si>
  <si>
    <t/>
  </si>
  <si>
    <t>(2)Number of Shares refers to the weighted average number of shares outstanding during the period.</t>
  </si>
  <si>
    <t>(3)Quarterly numbers are unaudited. Non GAAP indicators  are unaudited.</t>
  </si>
  <si>
    <t>(3)Quarterly growth rates for 2010 have been calculated based on 2009 reported figures, without taking into consideration the restatement effect from the 2011 change in policy regarding IAS 19.</t>
  </si>
  <si>
    <t xml:space="preserve">(**)FX Neutral Revenues per case in 2012 are adjusted and exclude Belarus (due to the hyperinflation impact of Belarus); therefore figures in the table for 2012 are not comparable with 2011 due to the Hyperinflation Adjustments   
</t>
  </si>
  <si>
    <t>Other financial assets</t>
  </si>
  <si>
    <t>Juices</t>
  </si>
  <si>
    <t>North Macedonia</t>
  </si>
  <si>
    <t>1.8%</t>
  </si>
  <si>
    <t>8.1%</t>
  </si>
  <si>
    <t>3.1%</t>
  </si>
  <si>
    <t>Other raw materials and purchased finished goods</t>
  </si>
  <si>
    <t>Sugar/Sweeteners</t>
  </si>
  <si>
    <t>Total Group</t>
  </si>
  <si>
    <t>% change y-o-y</t>
  </si>
  <si>
    <t>EBIT margin (%)</t>
  </si>
  <si>
    <t>Annual segmental analysis</t>
  </si>
  <si>
    <t>Annual COGS split</t>
  </si>
  <si>
    <t>Quarterly segmental analysis</t>
  </si>
  <si>
    <r>
      <t xml:space="preserve">Volume </t>
    </r>
    <r>
      <rPr>
        <b/>
        <i/>
        <sz val="12"/>
        <color theme="0"/>
        <rFont val="Effra Corp"/>
        <family val="2"/>
      </rPr>
      <t>(in million UC)</t>
    </r>
  </si>
  <si>
    <r>
      <t xml:space="preserve">Net Sales Revenue </t>
    </r>
    <r>
      <rPr>
        <b/>
        <i/>
        <sz val="12"/>
        <color theme="0"/>
        <rFont val="Effra Corp"/>
        <family val="2"/>
      </rPr>
      <t>(in million euro)</t>
    </r>
  </si>
  <si>
    <r>
      <t xml:space="preserve">EBIT </t>
    </r>
    <r>
      <rPr>
        <b/>
        <i/>
        <sz val="12"/>
        <color theme="0"/>
        <rFont val="Effra Corp"/>
        <family val="2"/>
      </rPr>
      <t>(in million euro)</t>
    </r>
  </si>
  <si>
    <r>
      <t xml:space="preserve">Comparable EBIT </t>
    </r>
    <r>
      <rPr>
        <b/>
        <i/>
        <sz val="12"/>
        <color theme="0"/>
        <rFont val="Effra Corp"/>
        <family val="2"/>
      </rPr>
      <t>(in million euro)</t>
    </r>
  </si>
  <si>
    <t>FY*</t>
  </si>
  <si>
    <r>
      <t>Volume</t>
    </r>
    <r>
      <rPr>
        <b/>
        <sz val="12"/>
        <color theme="0"/>
        <rFont val="Effra Corp"/>
        <family val="2"/>
      </rPr>
      <t xml:space="preserve"> 
</t>
    </r>
    <r>
      <rPr>
        <b/>
        <i/>
        <sz val="12"/>
        <color theme="0"/>
        <rFont val="Effra Corp"/>
        <family val="2"/>
      </rPr>
      <t>(in million UC)</t>
    </r>
  </si>
  <si>
    <r>
      <t xml:space="preserve">Net Sales Revenue
</t>
    </r>
    <r>
      <rPr>
        <b/>
        <i/>
        <sz val="12"/>
        <color theme="0"/>
        <rFont val="Effra Corp"/>
        <family val="2"/>
      </rPr>
      <t>(in million euro)</t>
    </r>
  </si>
  <si>
    <r>
      <t>Net Sales Revenue 
per case</t>
    </r>
    <r>
      <rPr>
        <b/>
        <i/>
        <sz val="12"/>
        <color theme="0"/>
        <rFont val="Effra Corp"/>
        <family val="2"/>
      </rPr>
      <t xml:space="preserve"> (in euro)</t>
    </r>
  </si>
  <si>
    <r>
      <t>EBIT</t>
    </r>
    <r>
      <rPr>
        <b/>
        <sz val="12"/>
        <color theme="0"/>
        <rFont val="Effra Corp"/>
        <family val="2"/>
      </rPr>
      <t xml:space="preserve"> 
</t>
    </r>
    <r>
      <rPr>
        <b/>
        <i/>
        <sz val="12"/>
        <color theme="0"/>
        <rFont val="Effra Corp"/>
        <family val="2"/>
      </rPr>
      <t>(in million euro)</t>
    </r>
  </si>
  <si>
    <r>
      <t xml:space="preserve">Comparable EBIT
</t>
    </r>
    <r>
      <rPr>
        <b/>
        <i/>
        <sz val="12"/>
        <color theme="0"/>
        <rFont val="Effra Corp"/>
        <family val="2"/>
      </rPr>
      <t>(in million euro)</t>
    </r>
  </si>
  <si>
    <r>
      <t xml:space="preserve">***FX Neutral Net Sales Revenue per case </t>
    </r>
    <r>
      <rPr>
        <b/>
        <i/>
        <sz val="12"/>
        <color theme="0"/>
        <rFont val="Effra Corp"/>
        <family val="2"/>
      </rPr>
      <t>(in euro)</t>
    </r>
  </si>
  <si>
    <t>***FX Neutral calculated compared to NSR per case reported in the Prior Year until FY12</t>
  </si>
  <si>
    <t>Annual volume figures</t>
  </si>
  <si>
    <t>(in million UC)</t>
  </si>
  <si>
    <t>Interim financial statements</t>
  </si>
  <si>
    <t>(in million euro)</t>
  </si>
  <si>
    <r>
      <t xml:space="preserve">Volume </t>
    </r>
    <r>
      <rPr>
        <i/>
        <sz val="11"/>
        <color theme="1"/>
        <rFont val="Effra Corp"/>
        <family val="2"/>
      </rPr>
      <t>(in million UC)</t>
    </r>
  </si>
  <si>
    <t>Total liabilities</t>
  </si>
  <si>
    <t>Annual financial statements</t>
  </si>
  <si>
    <t>Trade, other receivables and assets</t>
  </si>
  <si>
    <t>Share of results of integral equity method investments</t>
  </si>
  <si>
    <t>Share of results of non-integral equity method investments</t>
  </si>
  <si>
    <t>NM</t>
  </si>
  <si>
    <t xml:space="preserve"> </t>
  </si>
  <si>
    <t>Share of Results of Integral Equity Method Investments</t>
  </si>
  <si>
    <t>Assets classified as held for sale</t>
  </si>
  <si>
    <t>&gt;100</t>
  </si>
  <si>
    <t>Organic volume growth (%)</t>
  </si>
  <si>
    <t>Group organic volume growth</t>
  </si>
  <si>
    <t>Organic revenue/case growth (%)</t>
  </si>
  <si>
    <t>Group organic revenue/case growth</t>
  </si>
  <si>
    <t>Organic revenue growth (%)</t>
  </si>
  <si>
    <t>Group organic revenue growth</t>
  </si>
  <si>
    <t>Organic Comparable EBIT growth (%)</t>
  </si>
  <si>
    <t>Group organic Comparable EBIT growth</t>
  </si>
  <si>
    <t>Organic Comparable EBIT margin chg (bps)</t>
  </si>
  <si>
    <t>Group organic Comparable EBIT margin chg (bps)</t>
  </si>
  <si>
    <t>Q1 2021</t>
  </si>
  <si>
    <t>H1 2021</t>
  </si>
  <si>
    <t>Q3 2021</t>
  </si>
  <si>
    <t>FY 2021</t>
  </si>
  <si>
    <t>Q1 2020</t>
  </si>
  <si>
    <t>H1 2020</t>
  </si>
  <si>
    <t>Q3 2020</t>
  </si>
  <si>
    <t>FY 2020</t>
  </si>
  <si>
    <t>Q1 2019</t>
  </si>
  <si>
    <t>H1 2019</t>
  </si>
  <si>
    <t>Q3 2019</t>
  </si>
  <si>
    <t>FY 2019</t>
  </si>
  <si>
    <t>Q1 2022</t>
  </si>
  <si>
    <t>H1 2022</t>
  </si>
  <si>
    <t>Q3 2022</t>
  </si>
  <si>
    <t>FY 2022</t>
  </si>
  <si>
    <t>Egypt</t>
  </si>
  <si>
    <t>(**) Adjusted EBITDA refers to operating profit before deductions for depreciation and net impairment of property, plant and equipment,  amortisation and net impairment of intangible assets, net impairment of equity method investments, employee share options and performance share costs and other non-cash items, if any.</t>
  </si>
  <si>
    <t>H1 2023</t>
  </si>
  <si>
    <t>Q1 2023</t>
  </si>
  <si>
    <t>(Gain)/Loss on disposal of non-current assets</t>
  </si>
  <si>
    <t>Q3 2023</t>
  </si>
  <si>
    <t>FY 2023</t>
  </si>
  <si>
    <t>(Gains)/losses on disposal of non-current assets</t>
  </si>
  <si>
    <r>
      <t>(1)Financial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 In 2022, financial indicators on a comparable basis exclude the impact of Russia/Ukraine conflict.</t>
    </r>
    <r>
      <rPr>
        <sz val="10"/>
        <color rgb="FFFF0000"/>
        <rFont val="Effra Corp"/>
        <family val="2"/>
      </rPr>
      <t xml:space="preserve"> From 2023 onwards, financial indicators exclude the impairment of goodwill and indefinite-lived intangible assets.</t>
    </r>
  </si>
  <si>
    <t>Global exports</t>
  </si>
  <si>
    <r>
      <t xml:space="preserve">(1)Financial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 In 2022, financial indicators on a comparable basis exclude the impact of Russia/Ukraine conflict. </t>
    </r>
    <r>
      <rPr>
        <sz val="10"/>
        <color rgb="FFFF0000"/>
        <rFont val="Effra Corp"/>
        <family val="2"/>
      </rPr>
      <t xml:space="preserve">From 2023 onwards, financial indicators exclude the impairment of goodwill and indefinite-lived intangible assets. </t>
    </r>
    <r>
      <rPr>
        <sz val="10"/>
        <color rgb="FF000000"/>
        <rFont val="Effra Corp"/>
        <family val="2"/>
        <charset val="161"/>
      </rPr>
      <t>From 2023 onwards, financial indicators exclude the impairment of goodwill and indefinite-lived intangible assets.</t>
    </r>
  </si>
  <si>
    <t>(1)Financial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 From 2023 onwards, financial indicators exclude the impairment of goodwill and indefinite-lived intangible assets.</t>
  </si>
  <si>
    <t>Q1 2024</t>
  </si>
  <si>
    <t>H12024</t>
  </si>
  <si>
    <t>(4) FY2023 balance sheet has been revised in HY 2024 to reflect the measurement period adjustment in connection with the acquisition of Finlandia.</t>
  </si>
  <si>
    <t>Q3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</si>
</sst>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0\)"/>
    <numFmt numFmtId="165" formatCode="0.0%"/>
    <numFmt numFmtId="166" formatCode="#,##0.0"/>
    <numFmt numFmtId="167" formatCode="#,##0.0_);\(#,##0.0\)"/>
    <numFmt numFmtId="168" formatCode="#,##0.000"/>
    <numFmt numFmtId="169" formatCode="0.0%;\(0.0%\)"/>
  </numFmts>
  <fonts count="44">
    <font>
      <sz val="11"/>
      <color theme="1"/>
      <name val="Calibri"/>
      <family val="2"/>
      <scheme val="minor"/>
    </font>
    <font>
      <sz val="11"/>
      <color theme="1"/>
      <name val="Calibri"/>
      <family val="2"/>
      <scheme val="minor"/>
    </font>
    <font>
      <i/>
      <sz val="10"/>
      <color theme="1"/>
      <name val="Effra Corp"/>
      <family val="2"/>
      <charset val="161"/>
    </font>
    <font>
      <sz val="10"/>
      <color theme="1"/>
      <name val="Effra Corp"/>
      <family val="2"/>
      <charset val="161"/>
    </font>
    <font>
      <b/>
      <sz val="10"/>
      <color theme="1"/>
      <name val="Effra Corp"/>
      <family val="2"/>
      <charset val="161"/>
    </font>
    <font>
      <b/>
      <i/>
      <sz val="10"/>
      <color theme="1"/>
      <name val="Effra Corp"/>
      <family val="2"/>
      <charset val="161"/>
    </font>
    <font>
      <b/>
      <sz val="16"/>
      <color theme="0"/>
      <name val="Effra Corp"/>
      <family val="2"/>
      <charset val="161"/>
    </font>
    <font>
      <b/>
      <sz val="11"/>
      <color theme="1"/>
      <name val="Effra Corp"/>
      <family val="2"/>
      <charset val="161"/>
    </font>
    <font>
      <sz val="11"/>
      <color theme="1"/>
      <name val="Effra Corp"/>
      <family val="2"/>
      <charset val="161"/>
    </font>
    <font>
      <b/>
      <sz val="11"/>
      <color theme="0"/>
      <name val="Effra Corp"/>
      <family val="2"/>
      <charset val="161"/>
    </font>
    <font>
      <sz val="16"/>
      <color theme="1" tint="0.249977111117893"/>
      <name val="Effra Corp"/>
      <family val="2"/>
      <charset val="161"/>
    </font>
    <font>
      <sz val="10"/>
      <color rgb="FF000000"/>
      <name val="Effra Corp"/>
      <family val="2"/>
      <charset val="161"/>
    </font>
    <font>
      <sz val="10"/>
      <color theme="1"/>
      <name val="Effra Corp"/>
      <family val="2"/>
    </font>
    <font>
      <b/>
      <sz val="10"/>
      <color theme="1"/>
      <name val="Effra Corp"/>
      <family val="2"/>
    </font>
    <font>
      <b/>
      <i/>
      <sz val="10"/>
      <color theme="1"/>
      <name val="Effra Corp"/>
      <family val="2"/>
    </font>
    <font>
      <b/>
      <sz val="15"/>
      <color theme="1"/>
      <name val="Effra Corp"/>
      <family val="2"/>
    </font>
    <font>
      <b/>
      <u/>
      <sz val="15"/>
      <color theme="1"/>
      <name val="Effra Corp"/>
      <family val="2"/>
    </font>
    <font>
      <b/>
      <u/>
      <sz val="10"/>
      <color theme="1"/>
      <name val="Effra Corp"/>
      <family val="2"/>
    </font>
    <font>
      <b/>
      <sz val="11"/>
      <color theme="0"/>
      <name val="Effra Corp"/>
      <family val="2"/>
    </font>
    <font>
      <b/>
      <sz val="11"/>
      <color theme="1"/>
      <name val="Effra Corp"/>
      <family val="2"/>
    </font>
    <font>
      <b/>
      <i/>
      <sz val="11"/>
      <color theme="0"/>
      <name val="Effra Corp"/>
      <family val="2"/>
    </font>
    <font>
      <sz val="11"/>
      <color theme="1"/>
      <name val="Effra Corp"/>
      <family val="2"/>
    </font>
    <font>
      <b/>
      <sz val="12"/>
      <color theme="0"/>
      <name val="Effra Corp"/>
      <family val="2"/>
    </font>
    <font>
      <b/>
      <i/>
      <sz val="12"/>
      <color theme="0"/>
      <name val="Effra Corp"/>
      <family val="2"/>
    </font>
    <font>
      <sz val="15"/>
      <color theme="1"/>
      <name val="Effra Corp"/>
      <family val="2"/>
    </font>
    <font>
      <b/>
      <sz val="16"/>
      <color theme="0"/>
      <name val="Effra Corp"/>
      <family val="2"/>
    </font>
    <font>
      <sz val="11"/>
      <color theme="0"/>
      <name val="Effra Corp"/>
      <family val="2"/>
    </font>
    <font>
      <b/>
      <sz val="14"/>
      <color theme="0"/>
      <name val="Effra Corp"/>
      <family val="2"/>
    </font>
    <font>
      <i/>
      <sz val="10"/>
      <color theme="1"/>
      <name val="Effra Corp"/>
      <family val="2"/>
    </font>
    <font>
      <i/>
      <sz val="11"/>
      <color theme="1"/>
      <name val="Effra Corp"/>
      <family val="2"/>
    </font>
    <font>
      <sz val="10"/>
      <color rgb="FF000000"/>
      <name val="Effra Corp"/>
      <family val="2"/>
    </font>
    <font>
      <b/>
      <u/>
      <sz val="11"/>
      <color theme="1"/>
      <name val="Effra Corp"/>
      <family val="2"/>
    </font>
    <font>
      <b/>
      <i/>
      <sz val="11"/>
      <color theme="1"/>
      <name val="Effra Corp"/>
      <family val="2"/>
    </font>
    <font>
      <b/>
      <sz val="11"/>
      <color theme="1" tint="0.249977111117893"/>
      <name val="Effra Corp"/>
      <family val="2"/>
      <charset val="161"/>
    </font>
    <font>
      <b/>
      <i/>
      <sz val="11"/>
      <name val="Effra Corp"/>
      <family val="2"/>
    </font>
    <font>
      <b/>
      <sz val="11"/>
      <name val="Effra Corp"/>
      <family val="2"/>
    </font>
    <font>
      <sz val="11"/>
      <color rgb="FFC00000"/>
      <name val="Effra Corp"/>
      <family val="2"/>
    </font>
    <font>
      <sz val="10"/>
      <color rgb="FFC00000"/>
      <name val="Effra Corp"/>
      <family val="2"/>
    </font>
    <font>
      <i/>
      <sz val="10"/>
      <color rgb="FFC00000"/>
      <name val="Effra Corp"/>
      <family val="2"/>
    </font>
    <font>
      <sz val="10"/>
      <color rgb="FFFF0000"/>
      <name val="Effra Corp"/>
      <family val="2"/>
    </font>
    <font>
      <sz val="10"/>
      <name val="Effra Corp"/>
      <family val="2"/>
    </font>
    <font>
      <b/>
      <sz val="11"/>
      <color theme="0"/>
      <name val="Effra Corp"/>
      <family val="2"/>
    </font>
    <font>
      <sz val="11"/>
      <color theme="1"/>
      <name val="Effra Corp"/>
      <family val="2"/>
    </font>
    <font>
      <b/>
      <sz val="11"/>
      <color theme="1"/>
      <name val="Effra Corp"/>
      <family val="2"/>
    </font>
  </fonts>
  <fills count="10">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theme="0" tint="-0.249977111117893"/>
        <bgColor indexed="64"/>
      </patternFill>
    </fill>
    <fill>
      <patternFill patternType="darkGray"/>
    </fill>
    <fill>
      <patternFill patternType="darkGray">
        <bgColor theme="0"/>
      </patternFill>
    </fill>
    <fill>
      <patternFill patternType="darkGray">
        <bgColor theme="0" tint="-0.14999847407452621"/>
      </patternFill>
    </fill>
    <fill>
      <patternFill patternType="solid">
        <fgColor theme="0" tint="-4.9989318521683403E-2"/>
        <bgColor indexed="64"/>
      </patternFill>
    </fill>
  </fills>
  <borders count="79">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medium">
        <color indexed="64"/>
      </right>
      <top style="thin">
        <color theme="0" tint="-0.499984740745262"/>
      </top>
      <bottom style="thin">
        <color theme="0" tint="-0.499984740745262"/>
      </bottom>
      <diagonal/>
    </border>
    <border>
      <left style="medium">
        <color indexed="64"/>
      </left>
      <right style="thin">
        <color indexed="64"/>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theme="0" tint="-0.499984740745262"/>
      </bottom>
      <diagonal/>
    </border>
    <border>
      <left style="medium">
        <color indexed="64"/>
      </left>
      <right/>
      <top/>
      <bottom style="thin">
        <color theme="0" tint="-0.499984740745262"/>
      </bottom>
      <diagonal/>
    </border>
    <border>
      <left/>
      <right/>
      <top/>
      <bottom style="thin">
        <color theme="0" tint="-0.499984740745262"/>
      </bottom>
      <diagonal/>
    </border>
    <border>
      <left/>
      <right style="medium">
        <color indexed="64"/>
      </right>
      <top/>
      <bottom style="thin">
        <color theme="0" tint="-0.499984740745262"/>
      </bottom>
      <diagonal/>
    </border>
    <border>
      <left style="thin">
        <color indexed="64"/>
      </left>
      <right style="thin">
        <color indexed="64"/>
      </right>
      <top/>
      <bottom style="thin">
        <color theme="0" tint="-0.499984740745262"/>
      </bottom>
      <diagonal/>
    </border>
    <border>
      <left style="thin">
        <color indexed="64"/>
      </left>
      <right/>
      <top/>
      <bottom style="thin">
        <color theme="0" tint="-0.499984740745262"/>
      </bottom>
      <diagonal/>
    </border>
    <border>
      <left/>
      <right style="thin">
        <color indexed="64"/>
      </right>
      <top/>
      <bottom style="thin">
        <color theme="0" tint="-0.499984740745262"/>
      </bottom>
      <diagonal/>
    </border>
    <border>
      <left style="thin">
        <color indexed="64"/>
      </left>
      <right style="medium">
        <color indexed="64"/>
      </right>
      <top/>
      <bottom style="thin">
        <color theme="0" tint="-0.499984740745262"/>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thin">
        <color theme="0" tint="-0.499984740745262"/>
      </bottom>
      <diagonal/>
    </border>
    <border>
      <left style="hair">
        <color indexed="64"/>
      </left>
      <right style="hair">
        <color indexed="64"/>
      </right>
      <top/>
      <bottom style="thin">
        <color theme="0" tint="-0.499984740745262"/>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thin">
        <color theme="0" tint="-0.499984740745262"/>
      </bottom>
      <diagonal/>
    </border>
    <border>
      <left/>
      <right style="hair">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theme="0" tint="-0.499984740745262"/>
      </bottom>
      <diagonal/>
    </border>
    <border>
      <left/>
      <right style="thin">
        <color indexed="64"/>
      </right>
      <top style="thin">
        <color theme="0" tint="-0.499984740745262"/>
      </top>
      <bottom/>
      <diagonal/>
    </border>
    <border>
      <left style="hair">
        <color indexed="64"/>
      </left>
      <right style="hair">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531">
    <xf numFmtId="0" fontId="0" fillId="0" borderId="0" xfId="0"/>
    <xf numFmtId="0" fontId="3" fillId="0" borderId="0" xfId="0" applyFont="1" applyAlignment="1">
      <alignment horizontal="center"/>
    </xf>
    <xf numFmtId="0" fontId="3" fillId="0" borderId="0" xfId="0" applyFont="1"/>
    <xf numFmtId="166" fontId="3" fillId="0" borderId="0" xfId="0" applyNumberFormat="1" applyFont="1" applyAlignment="1">
      <alignment horizontal="center"/>
    </xf>
    <xf numFmtId="0" fontId="3" fillId="4" borderId="0" xfId="0" applyFont="1" applyFill="1"/>
    <xf numFmtId="0" fontId="3" fillId="4" borderId="0" xfId="0" applyFont="1" applyFill="1" applyAlignment="1">
      <alignment horizontal="center"/>
    </xf>
    <xf numFmtId="0" fontId="8" fillId="0" borderId="0" xfId="0" applyFont="1"/>
    <xf numFmtId="165" fontId="2" fillId="2" borderId="0" xfId="1" applyNumberFormat="1" applyFont="1" applyFill="1" applyBorder="1" applyAlignment="1">
      <alignment horizontal="center"/>
    </xf>
    <xf numFmtId="165" fontId="2" fillId="2" borderId="4" xfId="1" applyNumberFormat="1" applyFont="1" applyFill="1" applyBorder="1" applyAlignment="1">
      <alignment horizontal="center"/>
    </xf>
    <xf numFmtId="166" fontId="8" fillId="0" borderId="0" xfId="0" applyNumberFormat="1" applyFont="1" applyAlignment="1">
      <alignment horizontal="center"/>
    </xf>
    <xf numFmtId="0" fontId="5" fillId="4" borderId="0" xfId="0" applyFont="1" applyFill="1"/>
    <xf numFmtId="0" fontId="5" fillId="4" borderId="0" xfId="0" applyFont="1" applyFill="1" applyAlignment="1">
      <alignment horizontal="center"/>
    </xf>
    <xf numFmtId="0" fontId="8" fillId="4" borderId="0" xfId="0" applyFont="1" applyFill="1"/>
    <xf numFmtId="166" fontId="3" fillId="4" borderId="0" xfId="0" applyNumberFormat="1" applyFont="1" applyFill="1" applyAlignment="1">
      <alignment horizontal="center"/>
    </xf>
    <xf numFmtId="0" fontId="2" fillId="0" borderId="0" xfId="0" applyFont="1"/>
    <xf numFmtId="0" fontId="4" fillId="0" borderId="0" xfId="0" applyFont="1"/>
    <xf numFmtId="0" fontId="3" fillId="0" borderId="0" xfId="0" applyFont="1" applyAlignment="1">
      <alignment wrapText="1"/>
    </xf>
    <xf numFmtId="165" fontId="2" fillId="2" borderId="13" xfId="1" applyNumberFormat="1" applyFont="1" applyFill="1" applyBorder="1" applyAlignment="1">
      <alignment horizontal="center"/>
    </xf>
    <xf numFmtId="165" fontId="2" fillId="2" borderId="14" xfId="1" applyNumberFormat="1" applyFont="1" applyFill="1" applyBorder="1" applyAlignment="1">
      <alignment horizontal="center"/>
    </xf>
    <xf numFmtId="166" fontId="3" fillId="4" borderId="13" xfId="0" applyNumberFormat="1" applyFont="1" applyFill="1" applyBorder="1" applyAlignment="1">
      <alignment horizontal="center"/>
    </xf>
    <xf numFmtId="166" fontId="3" fillId="4" borderId="14" xfId="0" applyNumberFormat="1" applyFont="1" applyFill="1" applyBorder="1" applyAlignment="1">
      <alignment horizontal="center"/>
    </xf>
    <xf numFmtId="166" fontId="3" fillId="0" borderId="13" xfId="0" applyNumberFormat="1" applyFont="1" applyBorder="1" applyAlignment="1">
      <alignment horizontal="center"/>
    </xf>
    <xf numFmtId="166" fontId="3" fillId="0" borderId="14" xfId="0" applyNumberFormat="1" applyFont="1" applyBorder="1" applyAlignment="1">
      <alignment horizontal="center"/>
    </xf>
    <xf numFmtId="0" fontId="8" fillId="0" borderId="0" xfId="0" applyFont="1" applyAlignment="1">
      <alignment vertical="center"/>
    </xf>
    <xf numFmtId="165" fontId="12" fillId="0" borderId="4" xfId="1" applyNumberFormat="1" applyFont="1" applyFill="1" applyBorder="1" applyAlignment="1">
      <alignment horizontal="center"/>
    </xf>
    <xf numFmtId="165" fontId="12" fillId="0" borderId="16" xfId="1" applyNumberFormat="1" applyFont="1" applyFill="1" applyBorder="1" applyAlignment="1">
      <alignment horizontal="center"/>
    </xf>
    <xf numFmtId="165" fontId="12" fillId="0" borderId="17" xfId="1" applyNumberFormat="1" applyFont="1" applyFill="1" applyBorder="1" applyAlignment="1">
      <alignment horizontal="center"/>
    </xf>
    <xf numFmtId="165" fontId="2" fillId="2" borderId="16" xfId="1" applyNumberFormat="1" applyFont="1" applyFill="1" applyBorder="1" applyAlignment="1">
      <alignment horizontal="center"/>
    </xf>
    <xf numFmtId="165" fontId="2" fillId="2" borderId="17" xfId="1" applyNumberFormat="1" applyFont="1" applyFill="1" applyBorder="1" applyAlignment="1">
      <alignment horizontal="center"/>
    </xf>
    <xf numFmtId="166" fontId="13" fillId="0" borderId="13" xfId="0" applyNumberFormat="1" applyFont="1" applyBorder="1" applyAlignment="1">
      <alignment horizontal="center"/>
    </xf>
    <xf numFmtId="166" fontId="13" fillId="0" borderId="14" xfId="0" applyNumberFormat="1" applyFont="1" applyBorder="1" applyAlignment="1">
      <alignment horizontal="center"/>
    </xf>
    <xf numFmtId="165" fontId="14" fillId="2" borderId="11" xfId="1" applyNumberFormat="1" applyFont="1" applyFill="1" applyBorder="1" applyAlignment="1">
      <alignment horizontal="center"/>
    </xf>
    <xf numFmtId="165" fontId="14" fillId="2" borderId="12" xfId="1" applyNumberFormat="1" applyFont="1" applyFill="1" applyBorder="1" applyAlignment="1">
      <alignment horizontal="center"/>
    </xf>
    <xf numFmtId="165" fontId="14" fillId="2" borderId="13" xfId="1" applyNumberFormat="1" applyFont="1" applyFill="1" applyBorder="1" applyAlignment="1">
      <alignment horizontal="center"/>
    </xf>
    <xf numFmtId="165" fontId="14" fillId="2" borderId="14" xfId="1" applyNumberFormat="1" applyFont="1" applyFill="1" applyBorder="1" applyAlignment="1">
      <alignment horizontal="center"/>
    </xf>
    <xf numFmtId="165" fontId="13" fillId="0" borderId="11" xfId="1" applyNumberFormat="1" applyFont="1" applyFill="1" applyBorder="1" applyAlignment="1">
      <alignment horizontal="center"/>
    </xf>
    <xf numFmtId="165" fontId="13" fillId="0" borderId="12" xfId="1" applyNumberFormat="1" applyFont="1" applyFill="1" applyBorder="1" applyAlignment="1">
      <alignment horizontal="center"/>
    </xf>
    <xf numFmtId="166" fontId="13" fillId="4" borderId="13" xfId="0" applyNumberFormat="1" applyFont="1" applyFill="1" applyBorder="1" applyAlignment="1">
      <alignment horizontal="center"/>
    </xf>
    <xf numFmtId="166" fontId="13" fillId="4" borderId="14" xfId="0" applyNumberFormat="1" applyFont="1" applyFill="1" applyBorder="1" applyAlignment="1">
      <alignment horizontal="center"/>
    </xf>
    <xf numFmtId="165" fontId="2" fillId="2" borderId="0" xfId="0" applyNumberFormat="1" applyFont="1" applyFill="1" applyAlignment="1">
      <alignment horizontal="center"/>
    </xf>
    <xf numFmtId="165" fontId="14" fillId="2" borderId="0" xfId="0" applyNumberFormat="1" applyFont="1" applyFill="1" applyAlignment="1">
      <alignment horizontal="center"/>
    </xf>
    <xf numFmtId="166" fontId="13" fillId="0" borderId="0" xfId="0" applyNumberFormat="1" applyFont="1" applyAlignment="1">
      <alignment horizontal="center"/>
    </xf>
    <xf numFmtId="165" fontId="14" fillId="2" borderId="18" xfId="1" applyNumberFormat="1" applyFont="1" applyFill="1" applyBorder="1" applyAlignment="1">
      <alignment horizontal="center"/>
    </xf>
    <xf numFmtId="166" fontId="13" fillId="4" borderId="0" xfId="0" applyNumberFormat="1" applyFont="1" applyFill="1" applyAlignment="1">
      <alignment horizontal="center"/>
    </xf>
    <xf numFmtId="165" fontId="14" fillId="2" borderId="0" xfId="1" applyNumberFormat="1" applyFont="1" applyFill="1" applyBorder="1" applyAlignment="1">
      <alignment horizontal="center"/>
    </xf>
    <xf numFmtId="165" fontId="13" fillId="0" borderId="18" xfId="1" applyNumberFormat="1" applyFont="1" applyFill="1" applyBorder="1" applyAlignment="1">
      <alignment horizontal="center"/>
    </xf>
    <xf numFmtId="0" fontId="15" fillId="0" borderId="0" xfId="0" applyFont="1" applyAlignment="1">
      <alignment horizontal="centerContinuous"/>
    </xf>
    <xf numFmtId="0" fontId="16" fillId="0" borderId="0" xfId="0" applyFont="1" applyAlignment="1">
      <alignment horizontal="centerContinuous"/>
    </xf>
    <xf numFmtId="0" fontId="17" fillId="0" borderId="0" xfId="0" applyFont="1" applyAlignment="1">
      <alignment horizontal="centerContinuous"/>
    </xf>
    <xf numFmtId="0" fontId="18" fillId="3" borderId="15" xfId="0" applyFont="1" applyFill="1" applyBorder="1"/>
    <xf numFmtId="0" fontId="18" fillId="3" borderId="9" xfId="0" applyFont="1" applyFill="1" applyBorder="1" applyAlignment="1">
      <alignment horizontal="centerContinuous"/>
    </xf>
    <xf numFmtId="0" fontId="18" fillId="3" borderId="10" xfId="0" applyFont="1" applyFill="1" applyBorder="1" applyAlignment="1">
      <alignment horizontal="centerContinuous"/>
    </xf>
    <xf numFmtId="0" fontId="18" fillId="3" borderId="10" xfId="0" applyFont="1" applyFill="1" applyBorder="1"/>
    <xf numFmtId="0" fontId="19" fillId="0" borderId="0" xfId="0" applyFont="1"/>
    <xf numFmtId="0" fontId="21" fillId="0" borderId="0" xfId="0" applyFont="1"/>
    <xf numFmtId="0" fontId="18" fillId="3" borderId="15" xfId="0" quotePrefix="1" applyFont="1" applyFill="1" applyBorder="1" applyAlignment="1">
      <alignment horizontal="left"/>
    </xf>
    <xf numFmtId="0" fontId="18" fillId="3" borderId="15" xfId="0" applyFont="1" applyFill="1" applyBorder="1" applyAlignment="1">
      <alignment horizontal="centerContinuous"/>
    </xf>
    <xf numFmtId="0" fontId="19" fillId="3" borderId="15" xfId="0" applyFont="1" applyFill="1" applyBorder="1"/>
    <xf numFmtId="0" fontId="19" fillId="3" borderId="10" xfId="0" applyFont="1" applyFill="1" applyBorder="1"/>
    <xf numFmtId="0" fontId="8" fillId="4" borderId="13" xfId="0" applyFont="1" applyFill="1" applyBorder="1" applyAlignment="1">
      <alignment vertical="center" wrapText="1"/>
    </xf>
    <xf numFmtId="9" fontId="8" fillId="4" borderId="0" xfId="0" applyNumberFormat="1" applyFont="1" applyFill="1" applyAlignment="1">
      <alignment horizontal="center" vertical="center" wrapText="1"/>
    </xf>
    <xf numFmtId="9" fontId="8" fillId="4" borderId="14" xfId="0" applyNumberFormat="1" applyFont="1" applyFill="1" applyBorder="1" applyAlignment="1">
      <alignment horizontal="center" vertical="center" wrapText="1"/>
    </xf>
    <xf numFmtId="0" fontId="8" fillId="2" borderId="13" xfId="0" quotePrefix="1" applyFont="1" applyFill="1" applyBorder="1" applyAlignment="1">
      <alignment horizontal="left" vertical="center" wrapText="1"/>
    </xf>
    <xf numFmtId="9" fontId="8" fillId="2" borderId="0" xfId="0" applyNumberFormat="1" applyFont="1" applyFill="1" applyAlignment="1">
      <alignment horizontal="center" vertical="center" wrapText="1"/>
    </xf>
    <xf numFmtId="9" fontId="8" fillId="2" borderId="14" xfId="0" applyNumberFormat="1" applyFont="1" applyFill="1" applyBorder="1" applyAlignment="1">
      <alignment horizontal="center" vertical="center" wrapText="1"/>
    </xf>
    <xf numFmtId="0" fontId="8" fillId="2" borderId="13" xfId="0" applyFont="1" applyFill="1" applyBorder="1" applyAlignment="1">
      <alignment vertical="center" wrapText="1"/>
    </xf>
    <xf numFmtId="0" fontId="7" fillId="4" borderId="21" xfId="0" applyFont="1" applyFill="1" applyBorder="1" applyAlignment="1">
      <alignment vertical="center" wrapText="1"/>
    </xf>
    <xf numFmtId="9" fontId="7" fillId="4" borderId="22" xfId="0" applyNumberFormat="1" applyFont="1" applyFill="1" applyBorder="1" applyAlignment="1">
      <alignment horizontal="center" vertical="center" wrapText="1"/>
    </xf>
    <xf numFmtId="9" fontId="7" fillId="4" borderId="23" xfId="0" applyNumberFormat="1" applyFont="1" applyFill="1" applyBorder="1" applyAlignment="1">
      <alignment horizontal="center" vertical="center" wrapText="1"/>
    </xf>
    <xf numFmtId="0" fontId="24" fillId="0" borderId="0" xfId="0" applyFont="1" applyAlignment="1">
      <alignment horizontal="centerContinuous"/>
    </xf>
    <xf numFmtId="0" fontId="21" fillId="0" borderId="0" xfId="0" applyFont="1" applyAlignment="1">
      <alignment horizontal="center"/>
    </xf>
    <xf numFmtId="166" fontId="21" fillId="0" borderId="0" xfId="0" applyNumberFormat="1" applyFont="1" applyAlignment="1">
      <alignment horizontal="center"/>
    </xf>
    <xf numFmtId="166" fontId="21" fillId="4" borderId="0" xfId="0" applyNumberFormat="1" applyFont="1" applyFill="1" applyAlignment="1">
      <alignment horizontal="center"/>
    </xf>
    <xf numFmtId="166" fontId="21" fillId="4" borderId="3" xfId="0" applyNumberFormat="1" applyFont="1" applyFill="1" applyBorder="1" applyAlignment="1">
      <alignment horizontal="center"/>
    </xf>
    <xf numFmtId="166" fontId="19" fillId="0" borderId="0" xfId="0" applyNumberFormat="1" applyFont="1" applyAlignment="1">
      <alignment horizontal="center"/>
    </xf>
    <xf numFmtId="166" fontId="19" fillId="4" borderId="0" xfId="0" applyNumberFormat="1" applyFont="1" applyFill="1" applyAlignment="1">
      <alignment horizontal="center"/>
    </xf>
    <xf numFmtId="166" fontId="19" fillId="4" borderId="3" xfId="0" applyNumberFormat="1" applyFont="1" applyFill="1" applyBorder="1" applyAlignment="1">
      <alignment horizontal="center"/>
    </xf>
    <xf numFmtId="167" fontId="21" fillId="0" borderId="0" xfId="0" applyNumberFormat="1" applyFont="1" applyAlignment="1">
      <alignment horizontal="center"/>
    </xf>
    <xf numFmtId="167" fontId="21" fillId="0" borderId="1" xfId="0" applyNumberFormat="1" applyFont="1" applyBorder="1" applyAlignment="1">
      <alignment horizontal="center"/>
    </xf>
    <xf numFmtId="165" fontId="21" fillId="0" borderId="0" xfId="1" applyNumberFormat="1" applyFont="1" applyFill="1" applyAlignment="1">
      <alignment horizontal="center"/>
    </xf>
    <xf numFmtId="4" fontId="19" fillId="4" borderId="0" xfId="0" applyNumberFormat="1" applyFont="1" applyFill="1" applyAlignment="1">
      <alignment horizontal="center"/>
    </xf>
    <xf numFmtId="4" fontId="19" fillId="4" borderId="2" xfId="0" applyNumberFormat="1" applyFont="1" applyFill="1" applyBorder="1" applyAlignment="1">
      <alignment horizontal="center"/>
    </xf>
    <xf numFmtId="4" fontId="19" fillId="0" borderId="0" xfId="0" applyNumberFormat="1" applyFont="1" applyAlignment="1">
      <alignment horizontal="center"/>
    </xf>
    <xf numFmtId="0" fontId="28" fillId="0" borderId="0" xfId="0" quotePrefix="1" applyFont="1" applyAlignment="1">
      <alignment horizontal="left"/>
    </xf>
    <xf numFmtId="165" fontId="28" fillId="0" borderId="0" xfId="1" applyNumberFormat="1" applyFont="1" applyFill="1" applyBorder="1" applyAlignment="1">
      <alignment horizontal="center" vertical="center"/>
    </xf>
    <xf numFmtId="166" fontId="14" fillId="0" borderId="0" xfId="0" applyNumberFormat="1" applyFont="1" applyAlignment="1">
      <alignment horizontal="center" vertical="center"/>
    </xf>
    <xf numFmtId="0" fontId="29" fillId="0" borderId="0" xfId="0" applyFont="1"/>
    <xf numFmtId="0" fontId="14" fillId="0" borderId="0" xfId="0" applyFont="1"/>
    <xf numFmtId="165" fontId="28" fillId="0" borderId="0" xfId="1" applyNumberFormat="1" applyFont="1" applyFill="1" applyBorder="1" applyAlignment="1">
      <alignment horizontal="center"/>
    </xf>
    <xf numFmtId="0" fontId="28" fillId="0" borderId="0" xfId="0" applyFont="1" applyAlignment="1">
      <alignment vertical="top" wrapText="1"/>
    </xf>
    <xf numFmtId="166" fontId="21" fillId="0" borderId="0" xfId="0" applyNumberFormat="1" applyFont="1"/>
    <xf numFmtId="166" fontId="19" fillId="0" borderId="0" xfId="0" applyNumberFormat="1" applyFont="1"/>
    <xf numFmtId="0" fontId="19" fillId="0" borderId="13" xfId="0" applyFont="1" applyBorder="1"/>
    <xf numFmtId="0" fontId="25" fillId="3" borderId="25" xfId="0" applyFont="1" applyFill="1" applyBorder="1" applyAlignment="1">
      <alignment horizontal="centerContinuous" vertical="center"/>
    </xf>
    <xf numFmtId="0" fontId="21" fillId="0" borderId="0" xfId="0" applyFont="1" applyAlignment="1">
      <alignment horizontal="left" vertical="center"/>
    </xf>
    <xf numFmtId="0" fontId="21" fillId="0" borderId="0" xfId="0" applyFont="1" applyAlignment="1">
      <alignment vertical="center"/>
    </xf>
    <xf numFmtId="165" fontId="14" fillId="2" borderId="28" xfId="1" applyNumberFormat="1" applyFont="1" applyFill="1" applyBorder="1" applyAlignment="1">
      <alignment horizontal="center"/>
    </xf>
    <xf numFmtId="165" fontId="14" fillId="2" borderId="27" xfId="1" applyNumberFormat="1" applyFont="1" applyFill="1" applyBorder="1" applyAlignment="1">
      <alignment horizontal="center"/>
    </xf>
    <xf numFmtId="165" fontId="14" fillId="2" borderId="30" xfId="1" applyNumberFormat="1" applyFont="1" applyFill="1" applyBorder="1" applyAlignment="1">
      <alignment horizontal="center"/>
    </xf>
    <xf numFmtId="0" fontId="18" fillId="3" borderId="8"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4" xfId="0" applyFont="1" applyFill="1" applyBorder="1" applyAlignment="1">
      <alignment horizontal="center"/>
    </xf>
    <xf numFmtId="0" fontId="18" fillId="3" borderId="16" xfId="0" applyFont="1" applyFill="1" applyBorder="1" applyAlignment="1">
      <alignment horizontal="center"/>
    </xf>
    <xf numFmtId="0" fontId="18" fillId="3" borderId="17" xfId="0" applyFont="1" applyFill="1" applyBorder="1" applyAlignment="1">
      <alignment horizontal="center"/>
    </xf>
    <xf numFmtId="0" fontId="9" fillId="3" borderId="32" xfId="0" quotePrefix="1" applyFont="1" applyFill="1" applyBorder="1" applyAlignment="1">
      <alignment horizontal="left" vertical="center"/>
    </xf>
    <xf numFmtId="0" fontId="9" fillId="3" borderId="25" xfId="0" applyFont="1" applyFill="1" applyBorder="1" applyAlignment="1">
      <alignment horizontal="center" vertical="center"/>
    </xf>
    <xf numFmtId="4" fontId="21" fillId="0" borderId="0" xfId="0" applyNumberFormat="1" applyFont="1" applyAlignment="1">
      <alignment horizontal="center"/>
    </xf>
    <xf numFmtId="4" fontId="21" fillId="4" borderId="2" xfId="0" applyNumberFormat="1" applyFont="1" applyFill="1" applyBorder="1" applyAlignment="1">
      <alignment horizontal="center"/>
    </xf>
    <xf numFmtId="4" fontId="21" fillId="4" borderId="0" xfId="0" applyNumberFormat="1" applyFont="1" applyFill="1" applyAlignment="1">
      <alignment horizontal="center"/>
    </xf>
    <xf numFmtId="166" fontId="21" fillId="0" borderId="0" xfId="0" applyNumberFormat="1" applyFont="1" applyAlignment="1">
      <alignment horizontal="center" vertical="center"/>
    </xf>
    <xf numFmtId="166" fontId="21" fillId="0" borderId="1" xfId="0" applyNumberFormat="1" applyFont="1" applyBorder="1" applyAlignment="1">
      <alignment horizontal="center" vertical="center"/>
    </xf>
    <xf numFmtId="166" fontId="21" fillId="0" borderId="0" xfId="0" quotePrefix="1" applyNumberFormat="1" applyFont="1" applyAlignment="1">
      <alignment horizontal="center" vertical="center"/>
    </xf>
    <xf numFmtId="166" fontId="21" fillId="0" borderId="1" xfId="0" quotePrefix="1" applyNumberFormat="1" applyFont="1" applyBorder="1" applyAlignment="1">
      <alignment horizontal="center" vertical="center"/>
    </xf>
    <xf numFmtId="165" fontId="28" fillId="2" borderId="0" xfId="1" applyNumberFormat="1" applyFont="1" applyFill="1" applyBorder="1" applyAlignment="1">
      <alignment horizontal="center" vertical="center"/>
    </xf>
    <xf numFmtId="165" fontId="28" fillId="2" borderId="1" xfId="1" applyNumberFormat="1" applyFont="1" applyFill="1" applyBorder="1" applyAlignment="1">
      <alignment horizontal="center" vertical="center"/>
    </xf>
    <xf numFmtId="165" fontId="28" fillId="2" borderId="0" xfId="1" quotePrefix="1" applyNumberFormat="1" applyFont="1" applyFill="1" applyBorder="1" applyAlignment="1">
      <alignment horizontal="center" vertical="center"/>
    </xf>
    <xf numFmtId="165" fontId="28" fillId="2" borderId="1" xfId="1" quotePrefix="1" applyNumberFormat="1" applyFont="1" applyFill="1" applyBorder="1" applyAlignment="1">
      <alignment horizontal="center" vertical="center"/>
    </xf>
    <xf numFmtId="166" fontId="19" fillId="0" borderId="0" xfId="0" applyNumberFormat="1" applyFont="1" applyAlignment="1">
      <alignment horizontal="center" vertical="center"/>
    </xf>
    <xf numFmtId="166" fontId="19" fillId="0" borderId="1" xfId="0" applyNumberFormat="1" applyFont="1" applyBorder="1" applyAlignment="1">
      <alignment horizontal="center" vertical="center"/>
    </xf>
    <xf numFmtId="166" fontId="19" fillId="0" borderId="0" xfId="0" quotePrefix="1" applyNumberFormat="1" applyFont="1" applyAlignment="1">
      <alignment horizontal="center" vertical="center"/>
    </xf>
    <xf numFmtId="166" fontId="19" fillId="0" borderId="1" xfId="0" quotePrefix="1" applyNumberFormat="1" applyFont="1" applyBorder="1" applyAlignment="1">
      <alignment horizontal="center" vertical="center"/>
    </xf>
    <xf numFmtId="165" fontId="14" fillId="2" borderId="0" xfId="1" applyNumberFormat="1" applyFont="1" applyFill="1" applyBorder="1" applyAlignment="1">
      <alignment horizontal="center" vertical="center"/>
    </xf>
    <xf numFmtId="165" fontId="14" fillId="2" borderId="1" xfId="1" applyNumberFormat="1" applyFont="1" applyFill="1" applyBorder="1" applyAlignment="1">
      <alignment horizontal="center" vertical="center"/>
    </xf>
    <xf numFmtId="165" fontId="14" fillId="2" borderId="0" xfId="1" quotePrefix="1" applyNumberFormat="1" applyFont="1" applyFill="1" applyBorder="1" applyAlignment="1">
      <alignment horizontal="center" vertical="center"/>
    </xf>
    <xf numFmtId="165" fontId="14" fillId="2" borderId="1" xfId="1" quotePrefix="1" applyNumberFormat="1" applyFont="1" applyFill="1" applyBorder="1" applyAlignment="1">
      <alignment horizontal="center" vertical="center"/>
    </xf>
    <xf numFmtId="165" fontId="14" fillId="0" borderId="18" xfId="1" applyNumberFormat="1" applyFont="1" applyFill="1" applyBorder="1" applyAlignment="1">
      <alignment horizontal="center" vertical="center"/>
    </xf>
    <xf numFmtId="165" fontId="14" fillId="0" borderId="29" xfId="1" applyNumberFormat="1" applyFont="1" applyFill="1" applyBorder="1" applyAlignment="1">
      <alignment horizontal="center" vertical="center"/>
    </xf>
    <xf numFmtId="165" fontId="14" fillId="0" borderId="18" xfId="1" quotePrefix="1" applyNumberFormat="1" applyFont="1" applyFill="1" applyBorder="1" applyAlignment="1">
      <alignment horizontal="center" vertical="center"/>
    </xf>
    <xf numFmtId="165" fontId="14" fillId="0" borderId="29" xfId="1" quotePrefix="1" applyNumberFormat="1" applyFont="1" applyFill="1" applyBorder="1" applyAlignment="1">
      <alignment horizontal="center" vertical="center"/>
    </xf>
    <xf numFmtId="0" fontId="31" fillId="0" borderId="0" xfId="0" applyFont="1" applyAlignment="1">
      <alignment horizontal="centerContinuous"/>
    </xf>
    <xf numFmtId="164" fontId="18" fillId="0" borderId="0" xfId="0" applyNumberFormat="1" applyFont="1"/>
    <xf numFmtId="164" fontId="18" fillId="0" borderId="0" xfId="0" applyNumberFormat="1" applyFont="1" applyAlignment="1">
      <alignment horizontal="center"/>
    </xf>
    <xf numFmtId="0" fontId="21" fillId="4" borderId="0" xfId="0" applyFont="1" applyFill="1"/>
    <xf numFmtId="0" fontId="21" fillId="4" borderId="4" xfId="0" applyFont="1" applyFill="1" applyBorder="1"/>
    <xf numFmtId="0" fontId="29" fillId="0" borderId="0" xfId="0" applyFont="1" applyAlignment="1">
      <alignment wrapText="1"/>
    </xf>
    <xf numFmtId="0" fontId="29" fillId="0" borderId="0" xfId="0" applyFont="1" applyAlignment="1">
      <alignment vertical="top" wrapText="1"/>
    </xf>
    <xf numFmtId="165" fontId="29" fillId="2" borderId="0" xfId="1" applyNumberFormat="1" applyFont="1" applyFill="1" applyBorder="1" applyAlignment="1">
      <alignment horizontal="center"/>
    </xf>
    <xf numFmtId="165" fontId="29" fillId="2" borderId="13" xfId="1" applyNumberFormat="1" applyFont="1" applyFill="1" applyBorder="1" applyAlignment="1">
      <alignment horizontal="center"/>
    </xf>
    <xf numFmtId="165" fontId="29" fillId="2" borderId="14" xfId="1" applyNumberFormat="1" applyFont="1" applyFill="1" applyBorder="1" applyAlignment="1">
      <alignment horizontal="center"/>
    </xf>
    <xf numFmtId="166" fontId="21" fillId="0" borderId="5" xfId="0" applyNumberFormat="1" applyFont="1" applyBorder="1" applyAlignment="1">
      <alignment horizontal="center"/>
    </xf>
    <xf numFmtId="166" fontId="21" fillId="0" borderId="19" xfId="0" applyNumberFormat="1" applyFont="1" applyBorder="1" applyAlignment="1">
      <alignment horizontal="center"/>
    </xf>
    <xf numFmtId="166" fontId="21" fillId="0" borderId="20" xfId="0" applyNumberFormat="1" applyFont="1" applyBorder="1" applyAlignment="1">
      <alignment horizontal="center"/>
    </xf>
    <xf numFmtId="166" fontId="19" fillId="0" borderId="5" xfId="0" applyNumberFormat="1" applyFont="1" applyBorder="1" applyAlignment="1">
      <alignment horizontal="center"/>
    </xf>
    <xf numFmtId="166" fontId="19" fillId="0" borderId="19" xfId="0" applyNumberFormat="1" applyFont="1" applyBorder="1" applyAlignment="1">
      <alignment horizontal="center"/>
    </xf>
    <xf numFmtId="166" fontId="19" fillId="0" borderId="20" xfId="0" applyNumberFormat="1" applyFont="1" applyBorder="1" applyAlignment="1">
      <alignment horizontal="center"/>
    </xf>
    <xf numFmtId="0" fontId="18" fillId="3" borderId="32" xfId="0" applyFont="1" applyFill="1" applyBorder="1"/>
    <xf numFmtId="0" fontId="26" fillId="3" borderId="25" xfId="0" applyFont="1" applyFill="1" applyBorder="1" applyAlignment="1">
      <alignment horizontal="center"/>
    </xf>
    <xf numFmtId="0" fontId="26" fillId="3" borderId="32" xfId="0" applyFont="1" applyFill="1" applyBorder="1" applyAlignment="1">
      <alignment horizontal="center"/>
    </xf>
    <xf numFmtId="0" fontId="26" fillId="3" borderId="33" xfId="0" applyFont="1" applyFill="1" applyBorder="1" applyAlignment="1">
      <alignment horizontal="center"/>
    </xf>
    <xf numFmtId="0" fontId="21" fillId="0" borderId="19" xfId="0" applyFont="1" applyBorder="1"/>
    <xf numFmtId="0" fontId="19" fillId="0" borderId="19" xfId="0" quotePrefix="1" applyFont="1" applyBorder="1" applyAlignment="1">
      <alignment horizontal="left"/>
    </xf>
    <xf numFmtId="0" fontId="14" fillId="2" borderId="11" xfId="0" applyFont="1" applyFill="1" applyBorder="1" applyAlignment="1">
      <alignment horizontal="left" indent="1"/>
    </xf>
    <xf numFmtId="165" fontId="32" fillId="2" borderId="18" xfId="1" applyNumberFormat="1" applyFont="1" applyFill="1" applyBorder="1" applyAlignment="1">
      <alignment horizontal="center"/>
    </xf>
    <xf numFmtId="165" fontId="32" fillId="2" borderId="11" xfId="1" applyNumberFormat="1" applyFont="1" applyFill="1" applyBorder="1" applyAlignment="1">
      <alignment horizontal="center"/>
    </xf>
    <xf numFmtId="165" fontId="32" fillId="2" borderId="12" xfId="1" applyNumberFormat="1" applyFont="1" applyFill="1" applyBorder="1" applyAlignment="1">
      <alignment horizontal="center"/>
    </xf>
    <xf numFmtId="0" fontId="18" fillId="3" borderId="15" xfId="0" applyFont="1" applyFill="1" applyBorder="1" applyAlignment="1">
      <alignment horizontal="center"/>
    </xf>
    <xf numFmtId="164" fontId="20" fillId="3" borderId="11" xfId="0" applyNumberFormat="1" applyFont="1" applyFill="1" applyBorder="1"/>
    <xf numFmtId="0" fontId="18" fillId="3" borderId="18" xfId="0" applyFont="1" applyFill="1" applyBorder="1" applyAlignment="1">
      <alignment horizontal="center"/>
    </xf>
    <xf numFmtId="0" fontId="18" fillId="3" borderId="11" xfId="0" applyFont="1" applyFill="1" applyBorder="1" applyAlignment="1">
      <alignment horizontal="center"/>
    </xf>
    <xf numFmtId="0" fontId="18" fillId="3" borderId="12" xfId="0" applyFont="1" applyFill="1" applyBorder="1" applyAlignment="1">
      <alignment horizontal="center"/>
    </xf>
    <xf numFmtId="0" fontId="19" fillId="0" borderId="19" xfId="0" applyFont="1" applyBorder="1"/>
    <xf numFmtId="0" fontId="28" fillId="2" borderId="11" xfId="0" applyFont="1" applyFill="1" applyBorder="1" applyAlignment="1">
      <alignment horizontal="left" indent="1"/>
    </xf>
    <xf numFmtId="0" fontId="27" fillId="3" borderId="9" xfId="0" applyFont="1" applyFill="1" applyBorder="1" applyAlignment="1">
      <alignment horizontal="left"/>
    </xf>
    <xf numFmtId="0" fontId="2" fillId="0" borderId="0" xfId="0" applyFont="1" applyAlignment="1">
      <alignment vertical="top" wrapText="1"/>
    </xf>
    <xf numFmtId="0" fontId="11" fillId="0" borderId="0" xfId="0" quotePrefix="1" applyFont="1" applyAlignment="1">
      <alignment vertical="top" wrapText="1"/>
    </xf>
    <xf numFmtId="0" fontId="7" fillId="0" borderId="0" xfId="0" applyFont="1"/>
    <xf numFmtId="165" fontId="28" fillId="2" borderId="0" xfId="1" applyNumberFormat="1" applyFont="1" applyFill="1" applyBorder="1" applyAlignment="1">
      <alignment horizontal="center"/>
    </xf>
    <xf numFmtId="164" fontId="35" fillId="0" borderId="2" xfId="0" applyNumberFormat="1" applyFont="1" applyBorder="1" applyAlignment="1">
      <alignment horizontal="center"/>
    </xf>
    <xf numFmtId="164" fontId="19" fillId="0" borderId="0" xfId="0" applyNumberFormat="1" applyFont="1" applyAlignment="1">
      <alignment horizontal="center"/>
    </xf>
    <xf numFmtId="164" fontId="19" fillId="0" borderId="1" xfId="0" applyNumberFormat="1" applyFont="1" applyBorder="1" applyAlignment="1">
      <alignment horizontal="center"/>
    </xf>
    <xf numFmtId="164" fontId="19" fillId="4" borderId="0" xfId="0" applyNumberFormat="1" applyFont="1" applyFill="1" applyAlignment="1">
      <alignment horizontal="center"/>
    </xf>
    <xf numFmtId="164" fontId="19" fillId="4" borderId="1" xfId="0" applyNumberFormat="1" applyFont="1" applyFill="1" applyBorder="1" applyAlignment="1">
      <alignment horizontal="center"/>
    </xf>
    <xf numFmtId="0" fontId="6" fillId="3" borderId="9" xfId="0" applyFont="1" applyFill="1" applyBorder="1" applyAlignment="1">
      <alignment vertical="center"/>
    </xf>
    <xf numFmtId="0" fontId="6" fillId="3" borderId="24" xfId="0" applyFont="1" applyFill="1" applyBorder="1" applyAlignment="1">
      <alignment horizontal="center" vertical="center"/>
    </xf>
    <xf numFmtId="0" fontId="6" fillId="3" borderId="24" xfId="0" applyFont="1" applyFill="1" applyBorder="1" applyAlignment="1">
      <alignment horizontal="centerContinuous" vertical="center"/>
    </xf>
    <xf numFmtId="0" fontId="6" fillId="3" borderId="25" xfId="0" applyFont="1" applyFill="1" applyBorder="1" applyAlignment="1">
      <alignment horizontal="centerContinuous" vertical="center"/>
    </xf>
    <xf numFmtId="0" fontId="6" fillId="3" borderId="33" xfId="0" applyFont="1" applyFill="1" applyBorder="1" applyAlignment="1">
      <alignment horizontal="centerContinuous" vertical="center"/>
    </xf>
    <xf numFmtId="164" fontId="19" fillId="4" borderId="26" xfId="0" applyNumberFormat="1" applyFont="1" applyFill="1" applyBorder="1" applyAlignment="1">
      <alignment horizontal="center"/>
    </xf>
    <xf numFmtId="165" fontId="28" fillId="2" borderId="18" xfId="1" applyNumberFormat="1" applyFont="1" applyFill="1" applyBorder="1" applyAlignment="1">
      <alignment horizontal="center"/>
    </xf>
    <xf numFmtId="0" fontId="20" fillId="3" borderId="11" xfId="0" applyFont="1" applyFill="1" applyBorder="1" applyAlignment="1">
      <alignment vertical="center"/>
    </xf>
    <xf numFmtId="0" fontId="9" fillId="3" borderId="34"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35" xfId="0" applyFont="1" applyFill="1" applyBorder="1" applyAlignment="1">
      <alignment horizontal="center" vertical="center"/>
    </xf>
    <xf numFmtId="168" fontId="35" fillId="0" borderId="2" xfId="0" applyNumberFormat="1" applyFont="1" applyBorder="1" applyAlignment="1">
      <alignment horizontal="center"/>
    </xf>
    <xf numFmtId="168" fontId="19" fillId="0" borderId="0" xfId="0" applyNumberFormat="1" applyFont="1" applyAlignment="1">
      <alignment horizontal="center"/>
    </xf>
    <xf numFmtId="168" fontId="19" fillId="0" borderId="1" xfId="0" applyNumberFormat="1" applyFont="1" applyBorder="1" applyAlignment="1">
      <alignment horizontal="center"/>
    </xf>
    <xf numFmtId="168" fontId="19" fillId="0" borderId="26" xfId="0" applyNumberFormat="1" applyFont="1" applyBorder="1" applyAlignment="1">
      <alignment horizontal="center"/>
    </xf>
    <xf numFmtId="169" fontId="19" fillId="0" borderId="2" xfId="1" applyNumberFormat="1" applyFont="1" applyFill="1" applyBorder="1" applyAlignment="1">
      <alignment horizontal="center"/>
    </xf>
    <xf numFmtId="169" fontId="19" fillId="0" borderId="0" xfId="1" applyNumberFormat="1" applyFont="1" applyFill="1" applyBorder="1" applyAlignment="1">
      <alignment horizontal="center"/>
    </xf>
    <xf numFmtId="169" fontId="19" fillId="0" borderId="1" xfId="1" applyNumberFormat="1" applyFont="1" applyFill="1" applyBorder="1" applyAlignment="1">
      <alignment horizontal="center"/>
    </xf>
    <xf numFmtId="169" fontId="19" fillId="0" borderId="26" xfId="1" applyNumberFormat="1" applyFont="1" applyFill="1" applyBorder="1" applyAlignment="1">
      <alignment horizontal="center"/>
    </xf>
    <xf numFmtId="0" fontId="6" fillId="3" borderId="32" xfId="0" applyFont="1" applyFill="1" applyBorder="1" applyAlignment="1">
      <alignment horizontal="centerContinuous" vertical="center"/>
    </xf>
    <xf numFmtId="0" fontId="9" fillId="3" borderId="11" xfId="0" applyFont="1" applyFill="1" applyBorder="1" applyAlignment="1">
      <alignment horizontal="center" vertical="center"/>
    </xf>
    <xf numFmtId="164" fontId="19" fillId="4" borderId="13" xfId="0" applyNumberFormat="1" applyFont="1" applyFill="1" applyBorder="1" applyAlignment="1">
      <alignment horizontal="center"/>
    </xf>
    <xf numFmtId="169" fontId="19" fillId="0" borderId="13" xfId="1" applyNumberFormat="1" applyFont="1" applyFill="1" applyBorder="1" applyAlignment="1">
      <alignment horizontal="center"/>
    </xf>
    <xf numFmtId="168" fontId="19" fillId="0" borderId="13" xfId="0" applyNumberFormat="1" applyFont="1" applyBorder="1" applyAlignment="1">
      <alignment horizontal="center"/>
    </xf>
    <xf numFmtId="0" fontId="9" fillId="3" borderId="36" xfId="0" applyFont="1" applyFill="1" applyBorder="1" applyAlignment="1">
      <alignment horizontal="center" vertical="center"/>
    </xf>
    <xf numFmtId="0" fontId="10" fillId="0" borderId="0" xfId="0" applyFont="1" applyAlignment="1">
      <alignment vertical="center"/>
    </xf>
    <xf numFmtId="0" fontId="33" fillId="0" borderId="0" xfId="0" applyFont="1" applyAlignment="1">
      <alignment vertical="center"/>
    </xf>
    <xf numFmtId="0" fontId="8" fillId="0" borderId="0" xfId="0" applyFont="1" applyAlignment="1">
      <alignment horizontal="centerContinuous"/>
    </xf>
    <xf numFmtId="166" fontId="7" fillId="0" borderId="0" xfId="0" applyNumberFormat="1" applyFont="1" applyAlignment="1">
      <alignment horizontal="center"/>
    </xf>
    <xf numFmtId="0" fontId="7" fillId="0" borderId="0" xfId="0" applyFont="1" applyAlignment="1">
      <alignment horizontal="center"/>
    </xf>
    <xf numFmtId="0" fontId="18" fillId="3" borderId="18"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35" xfId="0" applyFont="1" applyFill="1" applyBorder="1" applyAlignment="1">
      <alignment horizontal="center" vertical="center"/>
    </xf>
    <xf numFmtId="0" fontId="18" fillId="3" borderId="36" xfId="0" applyFont="1" applyFill="1" applyBorder="1" applyAlignment="1">
      <alignment horizontal="center" vertical="center"/>
    </xf>
    <xf numFmtId="166" fontId="21" fillId="0" borderId="14" xfId="0" applyNumberFormat="1" applyFont="1" applyBorder="1" applyAlignment="1">
      <alignment horizontal="center"/>
    </xf>
    <xf numFmtId="0" fontId="6" fillId="3" borderId="39"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21" xfId="0" applyFont="1" applyFill="1" applyBorder="1" applyAlignment="1">
      <alignment horizontal="center" vertical="center"/>
    </xf>
    <xf numFmtId="164" fontId="19" fillId="0" borderId="14" xfId="0" applyNumberFormat="1" applyFont="1" applyBorder="1" applyAlignment="1">
      <alignment horizontal="center"/>
    </xf>
    <xf numFmtId="166" fontId="21" fillId="0" borderId="13" xfId="0" applyNumberFormat="1" applyFont="1" applyBorder="1" applyAlignment="1">
      <alignment horizontal="center"/>
    </xf>
    <xf numFmtId="0" fontId="18" fillId="3" borderId="23" xfId="0" applyFont="1" applyFill="1" applyBorder="1" applyAlignment="1">
      <alignment horizontal="center" vertical="center"/>
    </xf>
    <xf numFmtId="164" fontId="19" fillId="5" borderId="18" xfId="0" applyNumberFormat="1" applyFont="1" applyFill="1" applyBorder="1" applyAlignment="1">
      <alignment horizontal="center"/>
    </xf>
    <xf numFmtId="164" fontId="19" fillId="5" borderId="11" xfId="0" applyNumberFormat="1" applyFont="1" applyFill="1" applyBorder="1" applyAlignment="1">
      <alignment horizontal="center"/>
    </xf>
    <xf numFmtId="164" fontId="19" fillId="5" borderId="12" xfId="0" applyNumberFormat="1" applyFont="1" applyFill="1" applyBorder="1" applyAlignment="1">
      <alignment horizontal="center"/>
    </xf>
    <xf numFmtId="166" fontId="19" fillId="0" borderId="13" xfId="0" applyNumberFormat="1" applyFont="1" applyBorder="1" applyAlignment="1">
      <alignment horizontal="center"/>
    </xf>
    <xf numFmtId="166" fontId="19" fillId="0" borderId="26" xfId="0" applyNumberFormat="1" applyFont="1" applyBorder="1" applyAlignment="1">
      <alignment horizontal="center" vertical="center"/>
    </xf>
    <xf numFmtId="166" fontId="19" fillId="0" borderId="13" xfId="0" applyNumberFormat="1" applyFont="1" applyBorder="1" applyAlignment="1">
      <alignment horizontal="center" vertical="center"/>
    </xf>
    <xf numFmtId="166" fontId="19" fillId="0" borderId="14" xfId="0" applyNumberFormat="1" applyFont="1" applyBorder="1" applyAlignment="1">
      <alignment horizontal="center" vertical="center"/>
    </xf>
    <xf numFmtId="166" fontId="21" fillId="0" borderId="13" xfId="0" applyNumberFormat="1" applyFont="1" applyBorder="1" applyAlignment="1">
      <alignment horizontal="center" vertical="center"/>
    </xf>
    <xf numFmtId="166" fontId="21" fillId="0" borderId="26" xfId="0" applyNumberFormat="1" applyFont="1" applyBorder="1" applyAlignment="1">
      <alignment horizontal="center" vertical="center"/>
    </xf>
    <xf numFmtId="166" fontId="21" fillId="0" borderId="14" xfId="0" applyNumberFormat="1" applyFont="1" applyBorder="1" applyAlignment="1">
      <alignment horizontal="center" vertical="center"/>
    </xf>
    <xf numFmtId="0" fontId="19" fillId="0" borderId="13" xfId="0" applyFont="1" applyBorder="1" applyAlignment="1">
      <alignment horizontal="left" vertical="center"/>
    </xf>
    <xf numFmtId="0" fontId="21" fillId="0" borderId="13" xfId="0" applyFont="1" applyBorder="1" applyAlignment="1">
      <alignment horizontal="left" vertical="center"/>
    </xf>
    <xf numFmtId="0" fontId="19" fillId="2" borderId="44" xfId="0" applyFont="1" applyFill="1" applyBorder="1" applyAlignment="1">
      <alignment horizontal="left" vertical="center"/>
    </xf>
    <xf numFmtId="0" fontId="19" fillId="5" borderId="11" xfId="0" applyFont="1" applyFill="1" applyBorder="1" applyAlignment="1">
      <alignment horizontal="left" vertical="center"/>
    </xf>
    <xf numFmtId="164" fontId="8" fillId="0" borderId="0" xfId="0" applyNumberFormat="1" applyFont="1" applyAlignment="1">
      <alignment horizontal="center"/>
    </xf>
    <xf numFmtId="164" fontId="8" fillId="0" borderId="1" xfId="0" applyNumberFormat="1" applyFont="1" applyBorder="1" applyAlignment="1">
      <alignment horizontal="center"/>
    </xf>
    <xf numFmtId="164" fontId="7" fillId="0" borderId="1" xfId="0" applyNumberFormat="1" applyFont="1" applyBorder="1" applyAlignment="1">
      <alignment horizontal="center"/>
    </xf>
    <xf numFmtId="164" fontId="35" fillId="2" borderId="43" xfId="0" applyNumberFormat="1" applyFont="1" applyFill="1" applyBorder="1" applyAlignment="1">
      <alignment horizontal="center" vertical="center"/>
    </xf>
    <xf numFmtId="164" fontId="35" fillId="2" borderId="44" xfId="0" applyNumberFormat="1" applyFont="1" applyFill="1" applyBorder="1" applyAlignment="1">
      <alignment horizontal="center" vertical="center"/>
    </xf>
    <xf numFmtId="164" fontId="19" fillId="2" borderId="45" xfId="0" applyNumberFormat="1" applyFont="1" applyFill="1" applyBorder="1" applyAlignment="1">
      <alignment horizontal="center" vertical="center"/>
    </xf>
    <xf numFmtId="164" fontId="19" fillId="2" borderId="46" xfId="0" applyNumberFormat="1" applyFont="1" applyFill="1" applyBorder="1" applyAlignment="1">
      <alignment horizontal="center" vertical="center"/>
    </xf>
    <xf numFmtId="164" fontId="19" fillId="2" borderId="44" xfId="0" applyNumberFormat="1" applyFont="1" applyFill="1" applyBorder="1" applyAlignment="1">
      <alignment horizontal="center" vertical="center"/>
    </xf>
    <xf numFmtId="164" fontId="19" fillId="2" borderId="47" xfId="0" applyNumberFormat="1" applyFont="1" applyFill="1" applyBorder="1" applyAlignment="1">
      <alignment horizontal="center" vertical="center"/>
    </xf>
    <xf numFmtId="164" fontId="19" fillId="2" borderId="48" xfId="0" applyNumberFormat="1" applyFont="1" applyFill="1" applyBorder="1" applyAlignment="1">
      <alignment horizontal="center" vertical="center"/>
    </xf>
    <xf numFmtId="164" fontId="35" fillId="5" borderId="38" xfId="0" applyNumberFormat="1" applyFont="1" applyFill="1" applyBorder="1" applyAlignment="1">
      <alignment horizontal="center" vertical="center"/>
    </xf>
    <xf numFmtId="164" fontId="35" fillId="5" borderId="11" xfId="0" applyNumberFormat="1" applyFont="1" applyFill="1" applyBorder="1" applyAlignment="1">
      <alignment horizontal="center" vertical="center"/>
    </xf>
    <xf numFmtId="164" fontId="19" fillId="5" borderId="18" xfId="0" applyNumberFormat="1" applyFont="1" applyFill="1" applyBorder="1" applyAlignment="1">
      <alignment horizontal="center" vertical="center"/>
    </xf>
    <xf numFmtId="164" fontId="19" fillId="5" borderId="30" xfId="0" applyNumberFormat="1" applyFont="1" applyFill="1" applyBorder="1" applyAlignment="1">
      <alignment horizontal="center" vertical="center"/>
    </xf>
    <xf numFmtId="164" fontId="19" fillId="5" borderId="11" xfId="0" applyNumberFormat="1" applyFont="1" applyFill="1" applyBorder="1" applyAlignment="1">
      <alignment horizontal="center" vertical="center"/>
    </xf>
    <xf numFmtId="164" fontId="19" fillId="5" borderId="42" xfId="0" applyNumberFormat="1" applyFont="1" applyFill="1" applyBorder="1" applyAlignment="1">
      <alignment horizontal="center" vertical="center"/>
    </xf>
    <xf numFmtId="164" fontId="19" fillId="5" borderId="12" xfId="0" applyNumberFormat="1" applyFont="1" applyFill="1" applyBorder="1" applyAlignment="1">
      <alignment horizontal="center" vertical="center"/>
    </xf>
    <xf numFmtId="164" fontId="35" fillId="0" borderId="37" xfId="0" applyNumberFormat="1" applyFont="1" applyBorder="1" applyAlignment="1">
      <alignment horizontal="center" vertical="center"/>
    </xf>
    <xf numFmtId="164" fontId="35" fillId="0" borderId="13" xfId="0" applyNumberFormat="1" applyFont="1" applyBorder="1" applyAlignment="1">
      <alignment horizontal="center" vertical="center"/>
    </xf>
    <xf numFmtId="164" fontId="19" fillId="0" borderId="0" xfId="0" applyNumberFormat="1" applyFont="1" applyAlignment="1">
      <alignment horizontal="center" vertical="center"/>
    </xf>
    <xf numFmtId="164" fontId="19" fillId="0" borderId="26" xfId="0" applyNumberFormat="1" applyFont="1" applyBorder="1" applyAlignment="1">
      <alignment horizontal="center" vertical="center"/>
    </xf>
    <xf numFmtId="164" fontId="19" fillId="0" borderId="13" xfId="0" applyNumberFormat="1" applyFont="1" applyBorder="1" applyAlignment="1">
      <alignment horizontal="center" vertical="center"/>
    </xf>
    <xf numFmtId="164" fontId="19" fillId="0" borderId="41" xfId="0" applyNumberFormat="1" applyFont="1" applyBorder="1" applyAlignment="1">
      <alignment horizontal="center" vertical="center"/>
    </xf>
    <xf numFmtId="164" fontId="19" fillId="0" borderId="14" xfId="0" applyNumberFormat="1" applyFont="1" applyBorder="1" applyAlignment="1">
      <alignment horizontal="center" vertical="center"/>
    </xf>
    <xf numFmtId="164" fontId="21" fillId="0" borderId="37" xfId="0" applyNumberFormat="1" applyFont="1" applyBorder="1" applyAlignment="1">
      <alignment horizontal="center" vertical="center"/>
    </xf>
    <xf numFmtId="164" fontId="21" fillId="0" borderId="13" xfId="0" applyNumberFormat="1" applyFont="1" applyBorder="1" applyAlignment="1">
      <alignment horizontal="center" vertical="center"/>
    </xf>
    <xf numFmtId="164" fontId="21" fillId="0" borderId="0" xfId="0" applyNumberFormat="1" applyFont="1" applyAlignment="1">
      <alignment horizontal="center" vertical="center"/>
    </xf>
    <xf numFmtId="164" fontId="21" fillId="0" borderId="26" xfId="0" applyNumberFormat="1" applyFont="1" applyBorder="1" applyAlignment="1">
      <alignment horizontal="center" vertical="center"/>
    </xf>
    <xf numFmtId="164" fontId="21" fillId="0" borderId="1" xfId="0" applyNumberFormat="1" applyFont="1" applyBorder="1" applyAlignment="1">
      <alignment horizontal="center" vertical="center"/>
    </xf>
    <xf numFmtId="164" fontId="21" fillId="0" borderId="14" xfId="0" applyNumberFormat="1" applyFont="1" applyBorder="1" applyAlignment="1">
      <alignment horizontal="center" vertical="center"/>
    </xf>
    <xf numFmtId="164" fontId="21" fillId="0" borderId="41" xfId="0" applyNumberFormat="1" applyFont="1" applyBorder="1" applyAlignment="1">
      <alignment horizontal="center" vertical="center"/>
    </xf>
    <xf numFmtId="164" fontId="8" fillId="0" borderId="37" xfId="0" applyNumberFormat="1" applyFont="1" applyBorder="1" applyAlignment="1">
      <alignment horizontal="center"/>
    </xf>
    <xf numFmtId="0" fontId="6" fillId="3" borderId="49" xfId="0" applyFont="1" applyFill="1" applyBorder="1" applyAlignment="1">
      <alignment vertical="center"/>
    </xf>
    <xf numFmtId="0" fontId="20" fillId="3" borderId="38" xfId="0" applyFont="1" applyFill="1" applyBorder="1" applyAlignment="1">
      <alignment vertical="center"/>
    </xf>
    <xf numFmtId="0" fontId="19" fillId="2" borderId="43" xfId="0" applyFont="1" applyFill="1" applyBorder="1" applyAlignment="1">
      <alignment horizontal="left" vertical="center"/>
    </xf>
    <xf numFmtId="0" fontId="8" fillId="0" borderId="37" xfId="0" applyFont="1" applyBorder="1"/>
    <xf numFmtId="0" fontId="19" fillId="5" borderId="38" xfId="0" applyFont="1" applyFill="1" applyBorder="1" applyAlignment="1">
      <alignment horizontal="left" vertical="center"/>
    </xf>
    <xf numFmtId="164" fontId="8" fillId="0" borderId="13" xfId="0" applyNumberFormat="1" applyFont="1" applyBorder="1" applyAlignment="1">
      <alignment horizontal="center"/>
    </xf>
    <xf numFmtId="164" fontId="8" fillId="0" borderId="14" xfId="0" applyNumberFormat="1" applyFont="1" applyBorder="1" applyAlignment="1">
      <alignment horizontal="center"/>
    </xf>
    <xf numFmtId="0" fontId="6" fillId="3" borderId="39" xfId="0" applyFont="1" applyFill="1" applyBorder="1" applyAlignment="1">
      <alignment horizontal="centerContinuous" vertical="center"/>
    </xf>
    <xf numFmtId="164" fontId="8" fillId="0" borderId="26" xfId="0" applyNumberFormat="1" applyFont="1" applyBorder="1" applyAlignment="1">
      <alignment horizontal="center"/>
    </xf>
    <xf numFmtId="164" fontId="8" fillId="0" borderId="14" xfId="0" applyNumberFormat="1" applyFont="1" applyBorder="1"/>
    <xf numFmtId="164" fontId="8" fillId="0" borderId="41" xfId="0" applyNumberFormat="1" applyFont="1" applyBorder="1" applyAlignment="1">
      <alignment horizontal="center"/>
    </xf>
    <xf numFmtId="0" fontId="21" fillId="0" borderId="13" xfId="0" applyFont="1" applyBorder="1"/>
    <xf numFmtId="0" fontId="28" fillId="2" borderId="51" xfId="0" applyFont="1" applyFill="1" applyBorder="1" applyAlignment="1">
      <alignment horizontal="left" indent="1"/>
    </xf>
    <xf numFmtId="165" fontId="29" fillId="2" borderId="52" xfId="1" applyNumberFormat="1" applyFont="1" applyFill="1" applyBorder="1" applyAlignment="1">
      <alignment horizontal="center"/>
    </xf>
    <xf numFmtId="165" fontId="29" fillId="2" borderId="51" xfId="1" applyNumberFormat="1" applyFont="1" applyFill="1" applyBorder="1" applyAlignment="1">
      <alignment horizontal="center"/>
    </xf>
    <xf numFmtId="165" fontId="29" fillId="2" borderId="53" xfId="1" applyNumberFormat="1" applyFont="1" applyFill="1" applyBorder="1" applyAlignment="1">
      <alignment horizontal="center"/>
    </xf>
    <xf numFmtId="165" fontId="35" fillId="5" borderId="9" xfId="1" quotePrefix="1" applyNumberFormat="1" applyFont="1" applyFill="1" applyBorder="1" applyAlignment="1">
      <alignment horizontal="left"/>
    </xf>
    <xf numFmtId="166" fontId="35" fillId="5" borderId="15" xfId="0" applyNumberFormat="1" applyFont="1" applyFill="1" applyBorder="1" applyAlignment="1">
      <alignment horizontal="center"/>
    </xf>
    <xf numFmtId="166" fontId="35" fillId="5" borderId="9" xfId="0" applyNumberFormat="1" applyFont="1" applyFill="1" applyBorder="1" applyAlignment="1">
      <alignment horizontal="center"/>
    </xf>
    <xf numFmtId="166" fontId="35" fillId="5" borderId="10" xfId="0" applyNumberFormat="1" applyFont="1" applyFill="1" applyBorder="1" applyAlignment="1">
      <alignment horizontal="center"/>
    </xf>
    <xf numFmtId="164" fontId="34" fillId="5" borderId="11" xfId="0" applyNumberFormat="1" applyFont="1" applyFill="1" applyBorder="1" applyAlignment="1">
      <alignment horizontal="left" indent="1"/>
    </xf>
    <xf numFmtId="165" fontId="34" fillId="5" borderId="18" xfId="1" applyNumberFormat="1" applyFont="1" applyFill="1" applyBorder="1" applyAlignment="1">
      <alignment horizontal="center"/>
    </xf>
    <xf numFmtId="165" fontId="34" fillId="5" borderId="11" xfId="1" applyNumberFormat="1" applyFont="1" applyFill="1" applyBorder="1" applyAlignment="1">
      <alignment horizontal="center"/>
    </xf>
    <xf numFmtId="165" fontId="34" fillId="5" borderId="12" xfId="1" applyNumberFormat="1" applyFont="1" applyFill="1" applyBorder="1" applyAlignment="1">
      <alignment horizontal="center"/>
    </xf>
    <xf numFmtId="165" fontId="28" fillId="2" borderId="54" xfId="1" applyNumberFormat="1" applyFont="1" applyFill="1" applyBorder="1" applyAlignment="1">
      <alignment horizontal="center"/>
    </xf>
    <xf numFmtId="165" fontId="28" fillId="2" borderId="55" xfId="1" applyNumberFormat="1" applyFont="1" applyFill="1" applyBorder="1" applyAlignment="1">
      <alignment horizontal="center"/>
    </xf>
    <xf numFmtId="165" fontId="28" fillId="2" borderId="52" xfId="1" applyNumberFormat="1" applyFont="1" applyFill="1" applyBorder="1" applyAlignment="1">
      <alignment horizontal="center"/>
    </xf>
    <xf numFmtId="165" fontId="28" fillId="2" borderId="57" xfId="1" applyNumberFormat="1" applyFont="1" applyFill="1" applyBorder="1" applyAlignment="1">
      <alignment horizontal="center"/>
    </xf>
    <xf numFmtId="165" fontId="28" fillId="0" borderId="52" xfId="1" applyNumberFormat="1" applyFont="1" applyFill="1" applyBorder="1" applyAlignment="1">
      <alignment horizontal="center" vertical="center"/>
    </xf>
    <xf numFmtId="165" fontId="28" fillId="0" borderId="56" xfId="1" applyNumberFormat="1" applyFont="1" applyFill="1" applyBorder="1" applyAlignment="1">
      <alignment horizontal="center" vertical="center"/>
    </xf>
    <xf numFmtId="165" fontId="28" fillId="0" borderId="52" xfId="1" quotePrefix="1" applyNumberFormat="1" applyFont="1" applyFill="1" applyBorder="1" applyAlignment="1">
      <alignment horizontal="center" vertical="center"/>
    </xf>
    <xf numFmtId="165" fontId="28" fillId="0" borderId="56" xfId="1" quotePrefix="1" applyNumberFormat="1" applyFont="1" applyFill="1" applyBorder="1" applyAlignment="1">
      <alignment horizontal="center" vertical="center"/>
    </xf>
    <xf numFmtId="0" fontId="21" fillId="0" borderId="37" xfId="0" applyFont="1" applyBorder="1"/>
    <xf numFmtId="0" fontId="2" fillId="2" borderId="50" xfId="0" applyFont="1" applyFill="1" applyBorder="1" applyAlignment="1">
      <alignment horizontal="left" indent="1"/>
    </xf>
    <xf numFmtId="0" fontId="19" fillId="0" borderId="37" xfId="0" applyFont="1" applyBorder="1"/>
    <xf numFmtId="0" fontId="2" fillId="2" borderId="38" xfId="0" applyFont="1" applyFill="1" applyBorder="1" applyAlignment="1">
      <alignment horizontal="left" indent="1"/>
    </xf>
    <xf numFmtId="0" fontId="25" fillId="3" borderId="32" xfId="0" applyFont="1" applyFill="1" applyBorder="1" applyAlignment="1">
      <alignment horizontal="centerContinuous" vertical="center"/>
    </xf>
    <xf numFmtId="0" fontId="25" fillId="3" borderId="33" xfId="0" applyFont="1" applyFill="1" applyBorder="1" applyAlignment="1">
      <alignment horizontal="centerContinuous" vertical="center"/>
    </xf>
    <xf numFmtId="0" fontId="18" fillId="3" borderId="58" xfId="0" applyFont="1" applyFill="1" applyBorder="1" applyAlignment="1">
      <alignment horizontal="center" vertical="center"/>
    </xf>
    <xf numFmtId="166" fontId="21" fillId="4" borderId="26" xfId="0" applyNumberFormat="1" applyFont="1" applyFill="1" applyBorder="1" applyAlignment="1">
      <alignment horizontal="center"/>
    </xf>
    <xf numFmtId="165" fontId="28" fillId="2" borderId="51" xfId="1" applyNumberFormat="1" applyFont="1" applyFill="1" applyBorder="1" applyAlignment="1">
      <alignment horizontal="center"/>
    </xf>
    <xf numFmtId="166" fontId="19" fillId="4" borderId="26" xfId="0" applyNumberFormat="1" applyFont="1" applyFill="1" applyBorder="1" applyAlignment="1">
      <alignment horizontal="center"/>
    </xf>
    <xf numFmtId="0" fontId="18" fillId="3" borderId="59" xfId="0" applyFont="1" applyFill="1" applyBorder="1" applyAlignment="1">
      <alignment horizontal="center" vertical="center"/>
    </xf>
    <xf numFmtId="165" fontId="28" fillId="2" borderId="53" xfId="1" applyNumberFormat="1" applyFont="1" applyFill="1" applyBorder="1" applyAlignment="1">
      <alignment horizontal="center"/>
    </xf>
    <xf numFmtId="0" fontId="25" fillId="3" borderId="25" xfId="0" applyFont="1" applyFill="1" applyBorder="1" applyAlignment="1">
      <alignment horizontal="center" vertical="center"/>
    </xf>
    <xf numFmtId="0" fontId="18" fillId="3" borderId="0" xfId="0" applyFont="1" applyFill="1" applyAlignment="1">
      <alignment horizontal="center" vertical="center"/>
    </xf>
    <xf numFmtId="166" fontId="21" fillId="4" borderId="13" xfId="0" applyNumberFormat="1" applyFont="1" applyFill="1" applyBorder="1" applyAlignment="1">
      <alignment horizontal="center"/>
    </xf>
    <xf numFmtId="166" fontId="21" fillId="4" borderId="14" xfId="0" applyNumberFormat="1" applyFont="1" applyFill="1" applyBorder="1" applyAlignment="1">
      <alignment horizontal="center"/>
    </xf>
    <xf numFmtId="166" fontId="19" fillId="4" borderId="13" xfId="0" applyNumberFormat="1" applyFont="1" applyFill="1" applyBorder="1" applyAlignment="1">
      <alignment horizontal="center"/>
    </xf>
    <xf numFmtId="166" fontId="19" fillId="4" borderId="14" xfId="0" applyNumberFormat="1" applyFont="1" applyFill="1" applyBorder="1" applyAlignment="1">
      <alignment horizontal="center"/>
    </xf>
    <xf numFmtId="0" fontId="25" fillId="3" borderId="32" xfId="0" quotePrefix="1" applyFont="1" applyFill="1" applyBorder="1" applyAlignment="1">
      <alignment horizontal="centerContinuous" vertical="center"/>
    </xf>
    <xf numFmtId="0" fontId="18" fillId="3" borderId="31" xfId="0" quotePrefix="1" applyFont="1" applyFill="1" applyBorder="1" applyAlignment="1">
      <alignment horizontal="center" vertical="center"/>
    </xf>
    <xf numFmtId="0" fontId="4" fillId="0" borderId="37" xfId="0" applyFont="1" applyBorder="1"/>
    <xf numFmtId="0" fontId="21" fillId="4" borderId="0" xfId="0" applyFont="1" applyFill="1" applyAlignment="1">
      <alignment horizontal="center"/>
    </xf>
    <xf numFmtId="0" fontId="19" fillId="4" borderId="0" xfId="0" applyFont="1" applyFill="1" applyAlignment="1">
      <alignment horizontal="center"/>
    </xf>
    <xf numFmtId="4" fontId="21" fillId="0" borderId="13" xfId="0" applyNumberFormat="1" applyFont="1" applyBorder="1" applyAlignment="1">
      <alignment horizontal="center"/>
    </xf>
    <xf numFmtId="4" fontId="19" fillId="0" borderId="13" xfId="0" applyNumberFormat="1" applyFont="1" applyBorder="1" applyAlignment="1">
      <alignment horizontal="center"/>
    </xf>
    <xf numFmtId="4" fontId="21" fillId="4" borderId="13" xfId="0" applyNumberFormat="1" applyFont="1" applyFill="1" applyBorder="1" applyAlignment="1">
      <alignment horizontal="center"/>
    </xf>
    <xf numFmtId="4" fontId="19" fillId="4" borderId="13" xfId="0" applyNumberFormat="1" applyFont="1" applyFill="1" applyBorder="1" applyAlignment="1">
      <alignment horizontal="center"/>
    </xf>
    <xf numFmtId="167" fontId="21" fillId="0" borderId="11" xfId="0" applyNumberFormat="1" applyFont="1" applyBorder="1" applyAlignment="1">
      <alignment horizontal="center"/>
    </xf>
    <xf numFmtId="167" fontId="21" fillId="0" borderId="18" xfId="0" applyNumberFormat="1" applyFont="1" applyBorder="1" applyAlignment="1">
      <alignment horizontal="center"/>
    </xf>
    <xf numFmtId="167" fontId="21" fillId="0" borderId="12" xfId="0" applyNumberFormat="1" applyFont="1" applyBorder="1" applyAlignment="1">
      <alignment horizontal="center"/>
    </xf>
    <xf numFmtId="4" fontId="21" fillId="4" borderId="26" xfId="0" applyNumberFormat="1" applyFont="1" applyFill="1" applyBorder="1" applyAlignment="1">
      <alignment horizontal="center"/>
    </xf>
    <xf numFmtId="4" fontId="19" fillId="4" borderId="26" xfId="0" applyNumberFormat="1" applyFont="1" applyFill="1" applyBorder="1" applyAlignment="1">
      <alignment horizontal="center"/>
    </xf>
    <xf numFmtId="166" fontId="3" fillId="0" borderId="37" xfId="0" applyNumberFormat="1" applyFont="1" applyBorder="1"/>
    <xf numFmtId="0" fontId="2" fillId="2" borderId="37" xfId="0" applyFont="1" applyFill="1" applyBorder="1" applyAlignment="1">
      <alignment horizontal="left" indent="1"/>
    </xf>
    <xf numFmtId="0" fontId="12" fillId="0" borderId="50" xfId="0" quotePrefix="1" applyFont="1" applyBorder="1" applyAlignment="1">
      <alignment horizontal="left" indent="1"/>
    </xf>
    <xf numFmtId="166" fontId="13" fillId="0" borderId="37" xfId="0" applyNumberFormat="1" applyFont="1" applyBorder="1"/>
    <xf numFmtId="0" fontId="14" fillId="2" borderId="37" xfId="0" applyFont="1" applyFill="1" applyBorder="1" applyAlignment="1">
      <alignment horizontal="left" indent="1"/>
    </xf>
    <xf numFmtId="0" fontId="13" fillId="0" borderId="38" xfId="0" quotePrefix="1" applyFont="1" applyBorder="1" applyAlignment="1">
      <alignment horizontal="left" indent="1"/>
    </xf>
    <xf numFmtId="165" fontId="28" fillId="2" borderId="13" xfId="1" applyNumberFormat="1" applyFont="1" applyFill="1" applyBorder="1" applyAlignment="1">
      <alignment horizontal="center" vertical="center"/>
    </xf>
    <xf numFmtId="165" fontId="28" fillId="2" borderId="14" xfId="1" applyNumberFormat="1" applyFont="1" applyFill="1" applyBorder="1" applyAlignment="1">
      <alignment horizontal="center" vertical="center"/>
    </xf>
    <xf numFmtId="165" fontId="28" fillId="0" borderId="51" xfId="1" applyNumberFormat="1" applyFont="1" applyFill="1" applyBorder="1" applyAlignment="1">
      <alignment horizontal="center" vertical="center"/>
    </xf>
    <xf numFmtId="165" fontId="28" fillId="0" borderId="53" xfId="1" applyNumberFormat="1" applyFont="1" applyFill="1" applyBorder="1" applyAlignment="1">
      <alignment horizontal="center" vertical="center"/>
    </xf>
    <xf numFmtId="165" fontId="14" fillId="2" borderId="13" xfId="1" applyNumberFormat="1" applyFont="1" applyFill="1" applyBorder="1" applyAlignment="1">
      <alignment horizontal="center" vertical="center"/>
    </xf>
    <xf numFmtId="165" fontId="14" fillId="2" borderId="14" xfId="1" applyNumberFormat="1" applyFont="1" applyFill="1" applyBorder="1" applyAlignment="1">
      <alignment horizontal="center" vertical="center"/>
    </xf>
    <xf numFmtId="165" fontId="14" fillId="0" borderId="11" xfId="1" applyNumberFormat="1" applyFont="1" applyFill="1" applyBorder="1" applyAlignment="1">
      <alignment horizontal="center" vertical="center"/>
    </xf>
    <xf numFmtId="165" fontId="14" fillId="0" borderId="12" xfId="1" applyNumberFormat="1" applyFont="1" applyFill="1" applyBorder="1" applyAlignment="1">
      <alignment horizontal="center" vertical="center"/>
    </xf>
    <xf numFmtId="166" fontId="21" fillId="0" borderId="13" xfId="0" quotePrefix="1" applyNumberFormat="1" applyFont="1" applyBorder="1" applyAlignment="1">
      <alignment horizontal="center" vertical="center"/>
    </xf>
    <xf numFmtId="165" fontId="28" fillId="2" borderId="13" xfId="1" quotePrefix="1" applyNumberFormat="1" applyFont="1" applyFill="1" applyBorder="1" applyAlignment="1">
      <alignment horizontal="center" vertical="center"/>
    </xf>
    <xf numFmtId="165" fontId="28" fillId="0" borderId="51" xfId="1" quotePrefix="1" applyNumberFormat="1" applyFont="1" applyFill="1" applyBorder="1" applyAlignment="1">
      <alignment horizontal="center" vertical="center"/>
    </xf>
    <xf numFmtId="166" fontId="19" fillId="0" borderId="13" xfId="0" quotePrefix="1" applyNumberFormat="1" applyFont="1" applyBorder="1" applyAlignment="1">
      <alignment horizontal="center" vertical="center"/>
    </xf>
    <xf numFmtId="165" fontId="14" fillId="2" borderId="13" xfId="1" quotePrefix="1" applyNumberFormat="1" applyFont="1" applyFill="1" applyBorder="1" applyAlignment="1">
      <alignment horizontal="center" vertical="center"/>
    </xf>
    <xf numFmtId="165" fontId="14" fillId="0" borderId="11" xfId="1" quotePrefix="1" applyNumberFormat="1" applyFont="1" applyFill="1" applyBorder="1" applyAlignment="1">
      <alignment horizontal="center" vertical="center"/>
    </xf>
    <xf numFmtId="165" fontId="28" fillId="2" borderId="26" xfId="1" applyNumberFormat="1" applyFont="1" applyFill="1" applyBorder="1" applyAlignment="1">
      <alignment horizontal="center" vertical="center"/>
    </xf>
    <xf numFmtId="165" fontId="28" fillId="0" borderId="57" xfId="1" applyNumberFormat="1" applyFont="1" applyFill="1" applyBorder="1" applyAlignment="1">
      <alignment horizontal="center" vertical="center"/>
    </xf>
    <xf numFmtId="165" fontId="14" fillId="2" borderId="26" xfId="1" applyNumberFormat="1" applyFont="1" applyFill="1" applyBorder="1" applyAlignment="1">
      <alignment horizontal="center" vertical="center"/>
    </xf>
    <xf numFmtId="165" fontId="14" fillId="0" borderId="30" xfId="1" applyNumberFormat="1" applyFont="1" applyFill="1" applyBorder="1" applyAlignment="1">
      <alignment horizontal="center" vertical="center"/>
    </xf>
    <xf numFmtId="0" fontId="3" fillId="0" borderId="0" xfId="0" applyFont="1" applyAlignment="1">
      <alignment horizontal="centerContinuous"/>
    </xf>
    <xf numFmtId="0" fontId="29" fillId="2" borderId="13" xfId="0" applyFont="1" applyFill="1" applyBorder="1" applyAlignment="1">
      <alignment horizontal="left" indent="1"/>
    </xf>
    <xf numFmtId="165" fontId="29" fillId="2" borderId="2" xfId="1" applyNumberFormat="1" applyFont="1" applyFill="1" applyBorder="1" applyAlignment="1">
      <alignment horizontal="center"/>
    </xf>
    <xf numFmtId="165" fontId="29" fillId="2" borderId="1" xfId="1" applyNumberFormat="1" applyFont="1" applyFill="1" applyBorder="1" applyAlignment="1">
      <alignment horizontal="center"/>
    </xf>
    <xf numFmtId="165" fontId="29" fillId="2" borderId="26" xfId="1" applyNumberFormat="1" applyFont="1" applyFill="1" applyBorder="1" applyAlignment="1">
      <alignment horizontal="center"/>
    </xf>
    <xf numFmtId="0" fontId="29" fillId="2" borderId="11" xfId="0" applyFont="1" applyFill="1" applyBorder="1" applyAlignment="1">
      <alignment horizontal="left" indent="1"/>
    </xf>
    <xf numFmtId="165" fontId="29" fillId="2" borderId="28" xfId="1" applyNumberFormat="1" applyFont="1" applyFill="1" applyBorder="1" applyAlignment="1">
      <alignment horizontal="center"/>
    </xf>
    <xf numFmtId="165" fontId="29" fillId="2" borderId="18" xfId="1" applyNumberFormat="1" applyFont="1" applyFill="1" applyBorder="1" applyAlignment="1">
      <alignment horizontal="center"/>
    </xf>
    <xf numFmtId="165" fontId="29" fillId="2" borderId="29" xfId="1" applyNumberFormat="1" applyFont="1" applyFill="1" applyBorder="1" applyAlignment="1">
      <alignment horizontal="center"/>
    </xf>
    <xf numFmtId="165" fontId="29" fillId="2" borderId="11" xfId="1" applyNumberFormat="1" applyFont="1" applyFill="1" applyBorder="1" applyAlignment="1">
      <alignment horizontal="center"/>
    </xf>
    <xf numFmtId="165" fontId="29" fillId="2" borderId="12" xfId="1" applyNumberFormat="1" applyFont="1" applyFill="1" applyBorder="1" applyAlignment="1">
      <alignment horizontal="center"/>
    </xf>
    <xf numFmtId="165" fontId="29" fillId="2" borderId="30" xfId="1" applyNumberFormat="1" applyFont="1" applyFill="1" applyBorder="1" applyAlignment="1">
      <alignment horizontal="center"/>
    </xf>
    <xf numFmtId="164" fontId="19" fillId="4" borderId="14" xfId="0" applyNumberFormat="1" applyFont="1" applyFill="1" applyBorder="1" applyAlignment="1">
      <alignment horizontal="center"/>
    </xf>
    <xf numFmtId="169" fontId="19" fillId="0" borderId="14" xfId="1" applyNumberFormat="1" applyFont="1" applyFill="1" applyBorder="1" applyAlignment="1">
      <alignment horizontal="center"/>
    </xf>
    <xf numFmtId="168" fontId="19" fillId="0" borderId="14" xfId="0" applyNumberFormat="1" applyFont="1" applyBorder="1" applyAlignment="1">
      <alignment horizontal="center"/>
    </xf>
    <xf numFmtId="0" fontId="6" fillId="3" borderId="49" xfId="0" applyFont="1" applyFill="1" applyBorder="1"/>
    <xf numFmtId="0" fontId="29" fillId="2" borderId="37" xfId="0" applyFont="1" applyFill="1" applyBorder="1" applyAlignment="1">
      <alignment horizontal="left" indent="1"/>
    </xf>
    <xf numFmtId="0" fontId="29" fillId="2" borderId="38" xfId="0" applyFont="1" applyFill="1" applyBorder="1" applyAlignment="1">
      <alignment horizontal="left" indent="1"/>
    </xf>
    <xf numFmtId="0" fontId="29" fillId="2" borderId="37" xfId="0" quotePrefix="1" applyFont="1" applyFill="1" applyBorder="1" applyAlignment="1">
      <alignment horizontal="left" indent="1"/>
    </xf>
    <xf numFmtId="0" fontId="26" fillId="3" borderId="9" xfId="0" applyFont="1" applyFill="1" applyBorder="1" applyAlignment="1">
      <alignment horizontal="center"/>
    </xf>
    <xf numFmtId="0" fontId="26" fillId="3" borderId="15" xfId="0" applyFont="1" applyFill="1" applyBorder="1" applyAlignment="1">
      <alignment horizontal="center"/>
    </xf>
    <xf numFmtId="0" fontId="26" fillId="3" borderId="10" xfId="0" applyFont="1" applyFill="1" applyBorder="1" applyAlignment="1">
      <alignment horizontal="centerContinuous"/>
    </xf>
    <xf numFmtId="0" fontId="26" fillId="3" borderId="15" xfId="0" applyFont="1" applyFill="1" applyBorder="1"/>
    <xf numFmtId="0" fontId="26" fillId="3" borderId="10" xfId="0" applyFont="1" applyFill="1" applyBorder="1"/>
    <xf numFmtId="0" fontId="21" fillId="0" borderId="13" xfId="0" quotePrefix="1" applyFont="1" applyBorder="1" applyAlignment="1">
      <alignment horizontal="left" vertical="center"/>
    </xf>
    <xf numFmtId="0" fontId="21" fillId="0" borderId="37" xfId="0" quotePrefix="1" applyFont="1" applyBorder="1" applyAlignment="1">
      <alignment horizontal="left" vertical="center"/>
    </xf>
    <xf numFmtId="164" fontId="21" fillId="4" borderId="13" xfId="0" applyNumberFormat="1" applyFont="1" applyFill="1" applyBorder="1" applyAlignment="1">
      <alignment horizontal="center"/>
    </xf>
    <xf numFmtId="164" fontId="21" fillId="4" borderId="0" xfId="0" applyNumberFormat="1" applyFont="1" applyFill="1" applyAlignment="1">
      <alignment horizontal="center"/>
    </xf>
    <xf numFmtId="164" fontId="21" fillId="4" borderId="14" xfId="0" applyNumberFormat="1" applyFont="1" applyFill="1" applyBorder="1" applyAlignment="1">
      <alignment horizontal="center"/>
    </xf>
    <xf numFmtId="164" fontId="21" fillId="0" borderId="0" xfId="0" applyNumberFormat="1" applyFont="1" applyAlignment="1">
      <alignment horizontal="center"/>
    </xf>
    <xf numFmtId="164" fontId="21" fillId="0" borderId="14" xfId="0" applyNumberFormat="1" applyFont="1" applyBorder="1" applyAlignment="1">
      <alignment horizontal="center"/>
    </xf>
    <xf numFmtId="164" fontId="21" fillId="0" borderId="13" xfId="0" applyNumberFormat="1" applyFont="1" applyBorder="1" applyAlignment="1">
      <alignment horizontal="center"/>
    </xf>
    <xf numFmtId="0" fontId="19" fillId="0" borderId="37" xfId="0" applyFont="1" applyBorder="1" applyAlignment="1">
      <alignment horizontal="left" vertical="center"/>
    </xf>
    <xf numFmtId="0" fontId="21" fillId="0" borderId="37" xfId="0" applyFont="1" applyBorder="1" applyAlignment="1">
      <alignment horizontal="left" vertical="center"/>
    </xf>
    <xf numFmtId="0" fontId="8" fillId="0" borderId="0" xfId="0" applyFont="1" applyAlignment="1">
      <alignment horizontal="center"/>
    </xf>
    <xf numFmtId="165" fontId="8" fillId="0" borderId="0" xfId="1" applyNumberFormat="1" applyFont="1" applyFill="1" applyBorder="1"/>
    <xf numFmtId="164" fontId="8" fillId="4" borderId="0" xfId="0" applyNumberFormat="1" applyFont="1" applyFill="1" applyAlignment="1">
      <alignment horizontal="center"/>
    </xf>
    <xf numFmtId="164" fontId="8" fillId="4" borderId="13" xfId="0" applyNumberFormat="1" applyFont="1" applyFill="1" applyBorder="1" applyAlignment="1">
      <alignment horizontal="center"/>
    </xf>
    <xf numFmtId="164" fontId="8" fillId="4" borderId="14" xfId="0" applyNumberFormat="1" applyFont="1" applyFill="1" applyBorder="1" applyAlignment="1">
      <alignment horizontal="center"/>
    </xf>
    <xf numFmtId="0" fontId="12" fillId="0" borderId="0" xfId="0" applyFont="1" applyAlignment="1">
      <alignment wrapText="1"/>
    </xf>
    <xf numFmtId="0" fontId="30" fillId="0" borderId="0" xfId="0" quotePrefix="1" applyFont="1" applyAlignment="1">
      <alignment vertical="top" wrapText="1"/>
    </xf>
    <xf numFmtId="0" fontId="28" fillId="0" borderId="0" xfId="0" quotePrefix="1" applyFont="1" applyAlignment="1">
      <alignment vertical="top" wrapText="1"/>
    </xf>
    <xf numFmtId="0" fontId="18" fillId="3" borderId="49" xfId="0" applyFont="1" applyFill="1" applyBorder="1"/>
    <xf numFmtId="0" fontId="22" fillId="3" borderId="60" xfId="0" quotePrefix="1" applyFont="1" applyFill="1" applyBorder="1" applyAlignment="1">
      <alignment horizontal="left"/>
    </xf>
    <xf numFmtId="0" fontId="3" fillId="0" borderId="37" xfId="0" applyFont="1" applyBorder="1"/>
    <xf numFmtId="0" fontId="12" fillId="0" borderId="60" xfId="0" quotePrefix="1" applyFont="1" applyBorder="1" applyAlignment="1">
      <alignment horizontal="left" indent="1"/>
    </xf>
    <xf numFmtId="0" fontId="2" fillId="2" borderId="60" xfId="0" applyFont="1" applyFill="1" applyBorder="1" applyAlignment="1">
      <alignment horizontal="left" indent="1"/>
    </xf>
    <xf numFmtId="164" fontId="19" fillId="4" borderId="41" xfId="0" applyNumberFormat="1" applyFont="1" applyFill="1" applyBorder="1" applyAlignment="1">
      <alignment horizontal="center"/>
    </xf>
    <xf numFmtId="165" fontId="29" fillId="2" borderId="41" xfId="1" applyNumberFormat="1" applyFont="1" applyFill="1" applyBorder="1" applyAlignment="1">
      <alignment horizontal="center"/>
    </xf>
    <xf numFmtId="169" fontId="19" fillId="0" borderId="41" xfId="1" applyNumberFormat="1" applyFont="1" applyFill="1" applyBorder="1" applyAlignment="1">
      <alignment horizontal="center"/>
    </xf>
    <xf numFmtId="168" fontId="19" fillId="0" borderId="41" xfId="0" applyNumberFormat="1" applyFont="1" applyBorder="1" applyAlignment="1">
      <alignment horizontal="center"/>
    </xf>
    <xf numFmtId="165" fontId="29" fillId="2" borderId="42" xfId="1" applyNumberFormat="1" applyFont="1" applyFill="1" applyBorder="1" applyAlignment="1">
      <alignment horizontal="center"/>
    </xf>
    <xf numFmtId="164" fontId="8" fillId="0" borderId="0" xfId="0" applyNumberFormat="1" applyFont="1"/>
    <xf numFmtId="166" fontId="19" fillId="0" borderId="37" xfId="0" applyNumberFormat="1" applyFont="1" applyBorder="1"/>
    <xf numFmtId="166" fontId="21" fillId="0" borderId="37" xfId="0" applyNumberFormat="1" applyFont="1" applyBorder="1"/>
    <xf numFmtId="164" fontId="19" fillId="0" borderId="26" xfId="0" applyNumberFormat="1" applyFont="1" applyBorder="1" applyAlignment="1">
      <alignment horizontal="center"/>
    </xf>
    <xf numFmtId="164" fontId="19" fillId="0" borderId="13" xfId="0" applyNumberFormat="1" applyFont="1" applyBorder="1" applyAlignment="1">
      <alignment horizontal="center"/>
    </xf>
    <xf numFmtId="0" fontId="18" fillId="3" borderId="61" xfId="0" applyFont="1" applyFill="1" applyBorder="1" applyAlignment="1">
      <alignment horizontal="center" vertical="center"/>
    </xf>
    <xf numFmtId="0" fontId="18" fillId="3" borderId="62" xfId="0" applyFont="1" applyFill="1" applyBorder="1" applyAlignment="1">
      <alignment horizontal="center" vertical="center"/>
    </xf>
    <xf numFmtId="166" fontId="21" fillId="0" borderId="63" xfId="0" applyNumberFormat="1" applyFont="1" applyBorder="1" applyAlignment="1">
      <alignment horizontal="center"/>
    </xf>
    <xf numFmtId="166" fontId="21" fillId="0" borderId="64" xfId="0" applyNumberFormat="1" applyFont="1" applyBorder="1" applyAlignment="1">
      <alignment horizontal="center"/>
    </xf>
    <xf numFmtId="165" fontId="28" fillId="2" borderId="65" xfId="1" applyNumberFormat="1" applyFont="1" applyFill="1" applyBorder="1" applyAlignment="1">
      <alignment horizontal="center"/>
    </xf>
    <xf numFmtId="165" fontId="28" fillId="2" borderId="66" xfId="1" applyNumberFormat="1" applyFont="1" applyFill="1" applyBorder="1" applyAlignment="1">
      <alignment horizontal="center"/>
    </xf>
    <xf numFmtId="166" fontId="19" fillId="0" borderId="63" xfId="0" applyNumberFormat="1" applyFont="1" applyBorder="1" applyAlignment="1">
      <alignment horizontal="center"/>
    </xf>
    <xf numFmtId="166" fontId="19" fillId="0" borderId="64" xfId="0" applyNumberFormat="1" applyFont="1" applyBorder="1" applyAlignment="1">
      <alignment horizontal="center"/>
    </xf>
    <xf numFmtId="165" fontId="14" fillId="2" borderId="67" xfId="1" applyNumberFormat="1" applyFont="1" applyFill="1" applyBorder="1" applyAlignment="1">
      <alignment horizontal="center"/>
    </xf>
    <xf numFmtId="165" fontId="14" fillId="2" borderId="68" xfId="1" applyNumberFormat="1" applyFont="1" applyFill="1" applyBorder="1" applyAlignment="1">
      <alignment horizontal="center"/>
    </xf>
    <xf numFmtId="4" fontId="21" fillId="0" borderId="63" xfId="0" applyNumberFormat="1" applyFont="1" applyBorder="1" applyAlignment="1">
      <alignment horizontal="center"/>
    </xf>
    <xf numFmtId="4" fontId="21" fillId="0" borderId="64" xfId="0" applyNumberFormat="1" applyFont="1" applyBorder="1" applyAlignment="1">
      <alignment horizontal="center"/>
    </xf>
    <xf numFmtId="4" fontId="19" fillId="0" borderId="63" xfId="0" applyNumberFormat="1" applyFont="1" applyBorder="1" applyAlignment="1">
      <alignment horizontal="center"/>
    </xf>
    <xf numFmtId="4" fontId="19" fillId="0" borderId="64" xfId="0" applyNumberFormat="1" applyFont="1" applyBorder="1" applyAlignment="1">
      <alignment horizontal="center"/>
    </xf>
    <xf numFmtId="0" fontId="18" fillId="3" borderId="69" xfId="0" applyFont="1" applyFill="1" applyBorder="1" applyAlignment="1">
      <alignment horizontal="center" vertical="center"/>
    </xf>
    <xf numFmtId="166" fontId="21" fillId="0" borderId="63" xfId="0" quotePrefix="1" applyNumberFormat="1" applyFont="1" applyBorder="1" applyAlignment="1">
      <alignment horizontal="center" vertical="center"/>
    </xf>
    <xf numFmtId="166" fontId="21" fillId="0" borderId="70" xfId="0" applyNumberFormat="1" applyFont="1" applyBorder="1" applyAlignment="1">
      <alignment horizontal="center" vertical="center"/>
    </xf>
    <xf numFmtId="165" fontId="28" fillId="2" borderId="63" xfId="1" quotePrefix="1" applyNumberFormat="1" applyFont="1" applyFill="1" applyBorder="1" applyAlignment="1">
      <alignment horizontal="center" vertical="center"/>
    </xf>
    <xf numFmtId="165" fontId="28" fillId="2" borderId="70" xfId="1" applyNumberFormat="1" applyFont="1" applyFill="1" applyBorder="1" applyAlignment="1">
      <alignment horizontal="center" vertical="center"/>
    </xf>
    <xf numFmtId="165" fontId="28" fillId="0" borderId="65" xfId="1" quotePrefix="1" applyNumberFormat="1" applyFont="1" applyFill="1" applyBorder="1" applyAlignment="1">
      <alignment horizontal="center" vertical="center"/>
    </xf>
    <xf numFmtId="165" fontId="28" fillId="0" borderId="71" xfId="1" applyNumberFormat="1" applyFont="1" applyFill="1" applyBorder="1" applyAlignment="1">
      <alignment horizontal="center" vertical="center"/>
    </xf>
    <xf numFmtId="166" fontId="19" fillId="0" borderId="63" xfId="0" quotePrefix="1" applyNumberFormat="1" applyFont="1" applyBorder="1" applyAlignment="1">
      <alignment horizontal="center" vertical="center"/>
    </xf>
    <xf numFmtId="166" fontId="19" fillId="0" borderId="70" xfId="0" applyNumberFormat="1" applyFont="1" applyBorder="1" applyAlignment="1">
      <alignment horizontal="center" vertical="center"/>
    </xf>
    <xf numFmtId="165" fontId="14" fillId="2" borderId="63" xfId="1" quotePrefix="1" applyNumberFormat="1" applyFont="1" applyFill="1" applyBorder="1" applyAlignment="1">
      <alignment horizontal="center" vertical="center"/>
    </xf>
    <xf numFmtId="165" fontId="14" fillId="2" borderId="70" xfId="1" applyNumberFormat="1" applyFont="1" applyFill="1" applyBorder="1" applyAlignment="1">
      <alignment horizontal="center" vertical="center"/>
    </xf>
    <xf numFmtId="165" fontId="14" fillId="0" borderId="67" xfId="1" quotePrefix="1" applyNumberFormat="1" applyFont="1" applyFill="1" applyBorder="1" applyAlignment="1">
      <alignment horizontal="center" vertical="center"/>
    </xf>
    <xf numFmtId="165" fontId="14" fillId="0" borderId="72" xfId="1" applyNumberFormat="1" applyFont="1" applyFill="1" applyBorder="1" applyAlignment="1">
      <alignment horizontal="center" vertical="center"/>
    </xf>
    <xf numFmtId="166" fontId="21" fillId="0" borderId="64" xfId="0" applyNumberFormat="1" applyFont="1" applyBorder="1" applyAlignment="1">
      <alignment horizontal="center" vertical="center"/>
    </xf>
    <xf numFmtId="165" fontId="28" fillId="2" borderId="64" xfId="1" applyNumberFormat="1" applyFont="1" applyFill="1" applyBorder="1" applyAlignment="1">
      <alignment horizontal="center" vertical="center"/>
    </xf>
    <xf numFmtId="165" fontId="28" fillId="0" borderId="66" xfId="1" applyNumberFormat="1" applyFont="1" applyFill="1" applyBorder="1" applyAlignment="1">
      <alignment horizontal="center" vertical="center"/>
    </xf>
    <xf numFmtId="166" fontId="19" fillId="0" borderId="64" xfId="0" applyNumberFormat="1" applyFont="1" applyBorder="1" applyAlignment="1">
      <alignment horizontal="center" vertical="center"/>
    </xf>
    <xf numFmtId="165" fontId="14" fillId="2" borderId="64" xfId="1" applyNumberFormat="1" applyFont="1" applyFill="1" applyBorder="1" applyAlignment="1">
      <alignment horizontal="center" vertical="center"/>
    </xf>
    <xf numFmtId="165" fontId="14" fillId="0" borderId="68" xfId="1" applyNumberFormat="1" applyFont="1" applyFill="1" applyBorder="1" applyAlignment="1">
      <alignment horizontal="center" vertical="center"/>
    </xf>
    <xf numFmtId="0" fontId="19" fillId="6" borderId="13" xfId="0" applyFont="1" applyFill="1" applyBorder="1"/>
    <xf numFmtId="164" fontId="35" fillId="6" borderId="2" xfId="0" applyNumberFormat="1" applyFont="1" applyFill="1" applyBorder="1" applyAlignment="1">
      <alignment horizontal="center"/>
    </xf>
    <xf numFmtId="164" fontId="19" fillId="6" borderId="0" xfId="0" applyNumberFormat="1" applyFont="1" applyFill="1" applyAlignment="1">
      <alignment horizontal="center"/>
    </xf>
    <xf numFmtId="164" fontId="19" fillId="6" borderId="1" xfId="0" applyNumberFormat="1" applyFont="1" applyFill="1" applyBorder="1" applyAlignment="1">
      <alignment horizontal="center"/>
    </xf>
    <xf numFmtId="164" fontId="19" fillId="7" borderId="13" xfId="0" applyNumberFormat="1" applyFont="1" applyFill="1" applyBorder="1" applyAlignment="1">
      <alignment horizontal="center"/>
    </xf>
    <xf numFmtId="164" fontId="19" fillId="7" borderId="0" xfId="0" applyNumberFormat="1" applyFont="1" applyFill="1" applyAlignment="1">
      <alignment horizontal="center"/>
    </xf>
    <xf numFmtId="164" fontId="19" fillId="7" borderId="1" xfId="0" applyNumberFormat="1" applyFont="1" applyFill="1" applyBorder="1" applyAlignment="1">
      <alignment horizontal="center"/>
    </xf>
    <xf numFmtId="164" fontId="19" fillId="7" borderId="26" xfId="0" applyNumberFormat="1" applyFont="1" applyFill="1" applyBorder="1" applyAlignment="1">
      <alignment horizontal="center"/>
    </xf>
    <xf numFmtId="164" fontId="19" fillId="7" borderId="41" xfId="0" applyNumberFormat="1" applyFont="1" applyFill="1" applyBorder="1" applyAlignment="1">
      <alignment horizontal="center"/>
    </xf>
    <xf numFmtId="164" fontId="19" fillId="7" borderId="14" xfId="0" applyNumberFormat="1" applyFont="1" applyFill="1" applyBorder="1" applyAlignment="1">
      <alignment horizontal="center"/>
    </xf>
    <xf numFmtId="0" fontId="19" fillId="6" borderId="37" xfId="0" applyFont="1" applyFill="1" applyBorder="1"/>
    <xf numFmtId="0" fontId="29" fillId="8" borderId="37" xfId="0" applyFont="1" applyFill="1" applyBorder="1" applyAlignment="1">
      <alignment horizontal="left" indent="1"/>
    </xf>
    <xf numFmtId="165" fontId="29" fillId="8" borderId="13" xfId="1" applyNumberFormat="1" applyFont="1" applyFill="1" applyBorder="1" applyAlignment="1">
      <alignment horizontal="center"/>
    </xf>
    <xf numFmtId="165" fontId="29" fillId="8" borderId="0" xfId="1" applyNumberFormat="1" applyFont="1" applyFill="1" applyBorder="1" applyAlignment="1">
      <alignment horizontal="center"/>
    </xf>
    <xf numFmtId="165" fontId="29" fillId="8" borderId="14" xfId="1" applyNumberFormat="1" applyFont="1" applyFill="1" applyBorder="1" applyAlignment="1">
      <alignment horizontal="center"/>
    </xf>
    <xf numFmtId="4" fontId="21" fillId="0" borderId="26" xfId="0" applyNumberFormat="1" applyFont="1" applyBorder="1" applyAlignment="1">
      <alignment horizontal="center"/>
    </xf>
    <xf numFmtId="4" fontId="19" fillId="0" borderId="26" xfId="0" applyNumberFormat="1" applyFont="1" applyBorder="1" applyAlignment="1">
      <alignment horizontal="center"/>
    </xf>
    <xf numFmtId="0" fontId="9" fillId="3" borderId="10" xfId="0" applyFont="1" applyFill="1" applyBorder="1" applyAlignment="1">
      <alignment horizontal="center" vertical="center"/>
    </xf>
    <xf numFmtId="165" fontId="21" fillId="0" borderId="0" xfId="0" applyNumberFormat="1" applyFont="1"/>
    <xf numFmtId="0" fontId="26" fillId="3" borderId="0" xfId="0" applyFont="1" applyFill="1"/>
    <xf numFmtId="0" fontId="18" fillId="3" borderId="0" xfId="0" applyFont="1" applyFill="1" applyAlignment="1">
      <alignment horizontal="center"/>
    </xf>
    <xf numFmtId="0" fontId="9" fillId="3" borderId="15" xfId="0" applyFont="1" applyFill="1" applyBorder="1" applyAlignment="1">
      <alignment horizontal="center" vertical="center"/>
    </xf>
    <xf numFmtId="165" fontId="21" fillId="9" borderId="0" xfId="1" applyNumberFormat="1" applyFont="1" applyFill="1" applyAlignment="1">
      <alignment horizontal="center"/>
    </xf>
    <xf numFmtId="165" fontId="19" fillId="9" borderId="0" xfId="1" applyNumberFormat="1" applyFont="1" applyFill="1" applyAlignment="1">
      <alignment horizontal="center"/>
    </xf>
    <xf numFmtId="165" fontId="21" fillId="9" borderId="0" xfId="0" applyNumberFormat="1" applyFont="1" applyFill="1"/>
    <xf numFmtId="165" fontId="21" fillId="9" borderId="0" xfId="0" applyNumberFormat="1" applyFont="1" applyFill="1" applyAlignment="1">
      <alignment horizontal="center"/>
    </xf>
    <xf numFmtId="165" fontId="19" fillId="9" borderId="0" xfId="0" applyNumberFormat="1" applyFont="1" applyFill="1" applyAlignment="1">
      <alignment horizontal="center"/>
    </xf>
    <xf numFmtId="3" fontId="21" fillId="9" borderId="0" xfId="0" applyNumberFormat="1" applyFont="1" applyFill="1" applyAlignment="1">
      <alignment horizontal="center"/>
    </xf>
    <xf numFmtId="3" fontId="19" fillId="9" borderId="0" xfId="0" applyNumberFormat="1" applyFont="1" applyFill="1" applyAlignment="1">
      <alignment horizontal="center"/>
    </xf>
    <xf numFmtId="1" fontId="21" fillId="9" borderId="0" xfId="0" applyNumberFormat="1" applyFont="1" applyFill="1" applyAlignment="1">
      <alignment horizontal="center"/>
    </xf>
    <xf numFmtId="1" fontId="19" fillId="9" borderId="0" xfId="0" applyNumberFormat="1" applyFont="1" applyFill="1" applyAlignment="1">
      <alignment horizontal="center"/>
    </xf>
    <xf numFmtId="165" fontId="19" fillId="9" borderId="0" xfId="0" applyNumberFormat="1" applyFont="1" applyFill="1"/>
    <xf numFmtId="10" fontId="3" fillId="0" borderId="0" xfId="1" applyNumberFormat="1" applyFont="1"/>
    <xf numFmtId="167" fontId="19" fillId="0" borderId="0" xfId="0" applyNumberFormat="1" applyFont="1"/>
    <xf numFmtId="167" fontId="21" fillId="0" borderId="0" xfId="0" applyNumberFormat="1" applyFont="1"/>
    <xf numFmtId="0" fontId="36" fillId="0" borderId="0" xfId="0" applyFont="1"/>
    <xf numFmtId="0" fontId="36" fillId="0" borderId="0" xfId="0" applyFont="1" applyAlignment="1">
      <alignment vertical="center"/>
    </xf>
    <xf numFmtId="165" fontId="36" fillId="0" borderId="0" xfId="1" applyNumberFormat="1" applyFont="1"/>
    <xf numFmtId="165" fontId="37" fillId="0" borderId="0" xfId="1" applyNumberFormat="1" applyFont="1"/>
    <xf numFmtId="0" fontId="37" fillId="0" borderId="0" xfId="0" applyFont="1"/>
    <xf numFmtId="165" fontId="37" fillId="0" borderId="0" xfId="1" quotePrefix="1" applyNumberFormat="1" applyFont="1" applyAlignment="1">
      <alignment vertical="top" wrapText="1"/>
    </xf>
    <xf numFmtId="0" fontId="37" fillId="0" borderId="0" xfId="0" quotePrefix="1" applyFont="1" applyAlignment="1">
      <alignment vertical="top" wrapText="1"/>
    </xf>
    <xf numFmtId="165" fontId="37" fillId="0" borderId="0" xfId="1" applyNumberFormat="1" applyFont="1" applyAlignment="1">
      <alignment wrapText="1"/>
    </xf>
    <xf numFmtId="0" fontId="37" fillId="0" borderId="0" xfId="0" applyFont="1" applyAlignment="1">
      <alignment wrapText="1"/>
    </xf>
    <xf numFmtId="165" fontId="38" fillId="0" borderId="0" xfId="1" applyNumberFormat="1" applyFont="1" applyAlignment="1">
      <alignment vertical="top" wrapText="1"/>
    </xf>
    <xf numFmtId="0" fontId="38" fillId="0" borderId="0" xfId="0" applyFont="1" applyAlignment="1">
      <alignment vertical="top" wrapText="1"/>
    </xf>
    <xf numFmtId="165" fontId="37" fillId="0" borderId="0" xfId="0" applyNumberFormat="1" applyFont="1"/>
    <xf numFmtId="164" fontId="19" fillId="0" borderId="74" xfId="0" applyNumberFormat="1" applyFont="1" applyBorder="1" applyAlignment="1">
      <alignment horizontal="center" vertical="center"/>
    </xf>
    <xf numFmtId="165" fontId="28" fillId="2" borderId="56" xfId="1" applyNumberFormat="1" applyFont="1" applyFill="1" applyBorder="1" applyAlignment="1">
      <alignment horizontal="center"/>
    </xf>
    <xf numFmtId="166" fontId="21" fillId="0" borderId="75" xfId="0" applyNumberFormat="1" applyFont="1" applyBorder="1" applyAlignment="1">
      <alignment horizontal="center"/>
    </xf>
    <xf numFmtId="0" fontId="18" fillId="3" borderId="10" xfId="0" applyFont="1" applyFill="1" applyBorder="1" applyAlignment="1">
      <alignment horizontal="center"/>
    </xf>
    <xf numFmtId="166" fontId="21" fillId="0" borderId="76" xfId="0" applyNumberFormat="1" applyFont="1" applyBorder="1" applyAlignment="1">
      <alignment horizontal="center" vertical="center"/>
    </xf>
    <xf numFmtId="0" fontId="18" fillId="0" borderId="0" xfId="0" applyFont="1" applyAlignment="1">
      <alignment horizontal="left"/>
    </xf>
    <xf numFmtId="0" fontId="41" fillId="0" borderId="0" xfId="0" applyFont="1" applyAlignment="1">
      <alignment horizontal="center"/>
    </xf>
    <xf numFmtId="165" fontId="42" fillId="9" borderId="0" xfId="1" applyNumberFormat="1" applyFont="1" applyFill="1" applyAlignment="1">
      <alignment horizontal="center"/>
    </xf>
    <xf numFmtId="165" fontId="43" fillId="9" borderId="0" xfId="1" applyNumberFormat="1" applyFont="1" applyFill="1" applyAlignment="1">
      <alignment horizontal="center"/>
    </xf>
    <xf numFmtId="165" fontId="21" fillId="0" borderId="0" xfId="1" applyNumberFormat="1" applyFont="1"/>
    <xf numFmtId="0" fontId="30" fillId="0" borderId="0" xfId="0" quotePrefix="1" applyFont="1" applyAlignment="1">
      <alignment vertical="top"/>
    </xf>
    <xf numFmtId="4" fontId="21" fillId="0" borderId="75" xfId="0" applyNumberFormat="1" applyFont="1" applyBorder="1" applyAlignment="1">
      <alignment horizontal="center"/>
    </xf>
    <xf numFmtId="4" fontId="19" fillId="4" borderId="14" xfId="0" applyNumberFormat="1" applyFont="1" applyFill="1" applyBorder="1" applyAlignment="1">
      <alignment horizontal="center"/>
    </xf>
    <xf numFmtId="164" fontId="19" fillId="0" borderId="41" xfId="0" applyNumberFormat="1" applyFont="1" applyBorder="1" applyAlignment="1">
      <alignment horizontal="center"/>
    </xf>
    <xf numFmtId="43" fontId="28" fillId="2" borderId="52" xfId="2" applyFont="1" applyFill="1" applyBorder="1" applyAlignment="1">
      <alignment horizontal="center"/>
    </xf>
    <xf numFmtId="166" fontId="21" fillId="2" borderId="26" xfId="0" applyNumberFormat="1" applyFont="1" applyFill="1" applyBorder="1" applyAlignment="1">
      <alignment horizontal="center"/>
    </xf>
    <xf numFmtId="164" fontId="19" fillId="0" borderId="73" xfId="0" applyNumberFormat="1" applyFont="1" applyBorder="1" applyAlignment="1">
      <alignment horizontal="center" vertical="center"/>
    </xf>
    <xf numFmtId="164" fontId="19" fillId="2" borderId="42" xfId="0" applyNumberFormat="1" applyFont="1" applyFill="1" applyBorder="1" applyAlignment="1">
      <alignment horizontal="center" vertical="center"/>
    </xf>
    <xf numFmtId="168" fontId="19" fillId="0" borderId="37" xfId="0" applyNumberFormat="1" applyFont="1" applyBorder="1" applyAlignment="1">
      <alignment horizontal="center"/>
    </xf>
    <xf numFmtId="165" fontId="29" fillId="2" borderId="37" xfId="1" applyNumberFormat="1" applyFont="1" applyFill="1" applyBorder="1" applyAlignment="1">
      <alignment horizontal="center"/>
    </xf>
    <xf numFmtId="164" fontId="19" fillId="0" borderId="51" xfId="0" applyNumberFormat="1" applyFont="1" applyBorder="1" applyAlignment="1">
      <alignment horizontal="center" vertical="center"/>
    </xf>
    <xf numFmtId="0" fontId="18" fillId="3" borderId="77" xfId="0" applyFont="1" applyFill="1" applyBorder="1" applyAlignment="1">
      <alignment horizontal="center" vertical="center"/>
    </xf>
    <xf numFmtId="164" fontId="19" fillId="0" borderId="78" xfId="0" applyNumberFormat="1" applyFont="1" applyBorder="1" applyAlignment="1">
      <alignment horizontal="center" vertical="center"/>
    </xf>
    <xf numFmtId="164" fontId="19" fillId="0" borderId="50" xfId="0" applyNumberFormat="1" applyFont="1" applyBorder="1" applyAlignment="1">
      <alignment horizontal="center" vertical="center"/>
    </xf>
    <xf numFmtId="164" fontId="19" fillId="2" borderId="43" xfId="0" applyNumberFormat="1" applyFont="1" applyFill="1" applyBorder="1" applyAlignment="1">
      <alignment horizontal="center" vertical="center"/>
    </xf>
    <xf numFmtId="164" fontId="19" fillId="0" borderId="37" xfId="0" applyNumberFormat="1" applyFont="1" applyBorder="1" applyAlignment="1">
      <alignment horizontal="center" vertical="center"/>
    </xf>
    <xf numFmtId="164" fontId="19" fillId="5" borderId="38" xfId="0" applyNumberFormat="1" applyFont="1" applyFill="1" applyBorder="1" applyAlignment="1">
      <alignment horizontal="center" vertical="center"/>
    </xf>
    <xf numFmtId="0" fontId="18" fillId="3" borderId="0" xfId="0" applyFont="1" applyFill="1" applyAlignment="1">
      <alignment horizontal="center" vertical="center"/>
    </xf>
    <xf numFmtId="0" fontId="18" fillId="3" borderId="0" xfId="0" applyFont="1" applyFill="1" applyAlignment="1">
      <alignment horizontal="center"/>
    </xf>
    <xf numFmtId="0" fontId="2" fillId="0" borderId="0" xfId="0" applyFont="1" applyAlignment="1">
      <alignment vertical="top" wrapText="1"/>
    </xf>
    <xf numFmtId="0" fontId="11" fillId="0" borderId="0" xfId="0" applyFont="1" applyAlignment="1">
      <alignment horizontal="left" vertical="top" wrapText="1"/>
    </xf>
    <xf numFmtId="0" fontId="11" fillId="0" borderId="0" xfId="0" quotePrefix="1" applyFont="1" applyAlignment="1">
      <alignment vertical="top" wrapText="1"/>
    </xf>
    <xf numFmtId="0" fontId="12" fillId="0" borderId="0" xfId="0" applyFont="1" applyAlignment="1">
      <alignment wrapText="1"/>
    </xf>
    <xf numFmtId="0" fontId="29" fillId="0" borderId="5" xfId="0" applyFont="1" applyBorder="1" applyAlignment="1">
      <alignment horizontal="left" wrapText="1"/>
    </xf>
    <xf numFmtId="0" fontId="29" fillId="0" borderId="0" xfId="0" applyFont="1" applyAlignment="1">
      <alignment horizontal="left" wrapText="1"/>
    </xf>
    <xf numFmtId="0" fontId="29" fillId="0" borderId="0" xfId="0" applyFont="1" applyAlignment="1">
      <alignment horizontal="left" vertical="top" wrapText="1"/>
    </xf>
    <xf numFmtId="0" fontId="30" fillId="0" borderId="0" xfId="0" applyFont="1" applyAlignment="1">
      <alignment horizontal="left" vertical="top" wrapText="1"/>
    </xf>
    <xf numFmtId="0" fontId="28" fillId="0" borderId="0" xfId="0" applyFont="1" applyAlignment="1">
      <alignment horizontal="left" vertical="top" wrapText="1"/>
    </xf>
    <xf numFmtId="0" fontId="28" fillId="0" borderId="0" xfId="0" quotePrefix="1" applyFont="1" applyAlignment="1">
      <alignment horizontal="left" vertical="top" wrapText="1"/>
    </xf>
    <xf numFmtId="0" fontId="13" fillId="0" borderId="0" xfId="0" applyFont="1" applyAlignment="1">
      <alignment horizontal="left"/>
    </xf>
    <xf numFmtId="0" fontId="25" fillId="3" borderId="49" xfId="0" quotePrefix="1" applyFont="1" applyFill="1" applyBorder="1" applyAlignment="1">
      <alignment horizontal="left" vertical="center" wrapText="1"/>
    </xf>
    <xf numFmtId="0" fontId="25" fillId="3" borderId="37" xfId="0" applyFont="1" applyFill="1" applyBorder="1" applyAlignment="1">
      <alignment horizontal="left" vertical="center"/>
    </xf>
    <xf numFmtId="0" fontId="30" fillId="0" borderId="0" xfId="0" quotePrefix="1" applyFont="1" applyAlignment="1">
      <alignment horizontal="left" vertical="top" wrapText="1"/>
    </xf>
    <xf numFmtId="0" fontId="40" fillId="0" borderId="0" xfId="0" quotePrefix="1" applyFont="1" applyAlignment="1">
      <alignment horizontal="left" vertical="top" wrapText="1"/>
    </xf>
  </cellXfs>
  <cellStyles count="3">
    <cellStyle name="Comma" xfId="2" builtinId="3"/>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cid:1__=4DBBF4D0DFA0A3268f9e8a93d@cchellenic.com"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27214</xdr:colOff>
      <xdr:row>0</xdr:row>
      <xdr:rowOff>0</xdr:rowOff>
    </xdr:from>
    <xdr:to>
      <xdr:col>1</xdr:col>
      <xdr:colOff>410845</xdr:colOff>
      <xdr:row>2</xdr:row>
      <xdr:rowOff>95567</xdr:rowOff>
    </xdr:to>
    <xdr:pic>
      <xdr:nvPicPr>
        <xdr:cNvPr id="2" name="Picture 1">
          <a:extLst>
            <a:ext uri="{FF2B5EF4-FFF2-40B4-BE49-F238E27FC236}">
              <a16:creationId xmlns:a16="http://schemas.microsoft.com/office/drawing/2014/main" id="{547943F0-D035-4138-9158-63E383CFC326}"/>
            </a:ext>
          </a:extLst>
        </xdr:cNvPr>
        <xdr:cNvPicPr>
          <a:picLocks noChangeAspect="1"/>
        </xdr:cNvPicPr>
      </xdr:nvPicPr>
      <xdr:blipFill>
        <a:blip xmlns:r="http://schemas.openxmlformats.org/officeDocument/2006/relationships" r:embed="rId1"/>
        <a:stretch>
          <a:fillRect/>
        </a:stretch>
      </xdr:blipFill>
      <xdr:spPr>
        <a:xfrm>
          <a:off x="27214" y="0"/>
          <a:ext cx="1045845" cy="4584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1049655</xdr:colOff>
      <xdr:row>2</xdr:row>
      <xdr:rowOff>54564</xdr:rowOff>
    </xdr:to>
    <xdr:pic>
      <xdr:nvPicPr>
        <xdr:cNvPr id="3" name="Picture 2">
          <a:extLst>
            <a:ext uri="{FF2B5EF4-FFF2-40B4-BE49-F238E27FC236}">
              <a16:creationId xmlns:a16="http://schemas.microsoft.com/office/drawing/2014/main" id="{CCC43C98-E559-4C9C-A205-121EB843ABEF}"/>
            </a:ext>
          </a:extLst>
        </xdr:cNvPr>
        <xdr:cNvPicPr>
          <a:picLocks noChangeAspect="1"/>
        </xdr:cNvPicPr>
      </xdr:nvPicPr>
      <xdr:blipFill>
        <a:blip xmlns:r="http://schemas.openxmlformats.org/officeDocument/2006/relationships" r:embed="rId1"/>
        <a:stretch>
          <a:fillRect/>
        </a:stretch>
      </xdr:blipFill>
      <xdr:spPr>
        <a:xfrm>
          <a:off x="0" y="0"/>
          <a:ext cx="1049655" cy="4690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1045845</xdr:colOff>
      <xdr:row>2</xdr:row>
      <xdr:rowOff>60120</xdr:rowOff>
    </xdr:to>
    <xdr:pic>
      <xdr:nvPicPr>
        <xdr:cNvPr id="3" name="Picture 2">
          <a:extLst>
            <a:ext uri="{FF2B5EF4-FFF2-40B4-BE49-F238E27FC236}">
              <a16:creationId xmlns:a16="http://schemas.microsoft.com/office/drawing/2014/main" id="{CB8E1931-2AC9-45F4-A145-08E61E7DE013}"/>
            </a:ext>
          </a:extLst>
        </xdr:cNvPr>
        <xdr:cNvPicPr>
          <a:picLocks noChangeAspect="1"/>
        </xdr:cNvPicPr>
      </xdr:nvPicPr>
      <xdr:blipFill>
        <a:blip xmlns:r="http://schemas.openxmlformats.org/officeDocument/2006/relationships" r:embed="rId1"/>
        <a:stretch>
          <a:fillRect/>
        </a:stretch>
      </xdr:blipFill>
      <xdr:spPr>
        <a:xfrm>
          <a:off x="0" y="0"/>
          <a:ext cx="1045845" cy="4757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1045845</xdr:colOff>
      <xdr:row>2</xdr:row>
      <xdr:rowOff>58103</xdr:rowOff>
    </xdr:to>
    <xdr:pic>
      <xdr:nvPicPr>
        <xdr:cNvPr id="3" name="Picture 2">
          <a:extLst>
            <a:ext uri="{FF2B5EF4-FFF2-40B4-BE49-F238E27FC236}">
              <a16:creationId xmlns:a16="http://schemas.microsoft.com/office/drawing/2014/main" id="{42DC7191-5AB6-48BD-A52A-241D3CE20CCD}"/>
            </a:ext>
          </a:extLst>
        </xdr:cNvPr>
        <xdr:cNvPicPr>
          <a:picLocks noChangeAspect="1"/>
        </xdr:cNvPicPr>
      </xdr:nvPicPr>
      <xdr:blipFill>
        <a:blip xmlns:r="http://schemas.openxmlformats.org/officeDocument/2006/relationships" r:embed="rId1"/>
        <a:stretch>
          <a:fillRect/>
        </a:stretch>
      </xdr:blipFill>
      <xdr:spPr>
        <a:xfrm>
          <a:off x="0" y="0"/>
          <a:ext cx="1049655" cy="4746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31750</xdr:rowOff>
    </xdr:from>
    <xdr:to>
      <xdr:col>0</xdr:col>
      <xdr:colOff>1223818</xdr:colOff>
      <xdr:row>2</xdr:row>
      <xdr:rowOff>171419</xdr:rowOff>
    </xdr:to>
    <xdr:pic>
      <xdr:nvPicPr>
        <xdr:cNvPr id="3" name="Picture 2">
          <a:extLst>
            <a:ext uri="{FF2B5EF4-FFF2-40B4-BE49-F238E27FC236}">
              <a16:creationId xmlns:a16="http://schemas.microsoft.com/office/drawing/2014/main" id="{5DA91382-DD96-403C-82A8-45201D065DB0}"/>
            </a:ext>
          </a:extLst>
        </xdr:cNvPr>
        <xdr:cNvPicPr>
          <a:picLocks noChangeAspect="1"/>
        </xdr:cNvPicPr>
      </xdr:nvPicPr>
      <xdr:blipFill>
        <a:blip xmlns:r="http://schemas.openxmlformats.org/officeDocument/2006/relationships" r:embed="rId1"/>
        <a:stretch>
          <a:fillRect/>
        </a:stretch>
      </xdr:blipFill>
      <xdr:spPr>
        <a:xfrm>
          <a:off x="0" y="31750"/>
          <a:ext cx="1223818" cy="5553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1045845</xdr:colOff>
      <xdr:row>2</xdr:row>
      <xdr:rowOff>76835</xdr:rowOff>
    </xdr:to>
    <xdr:pic>
      <xdr:nvPicPr>
        <xdr:cNvPr id="3" name="Picture 2">
          <a:extLst>
            <a:ext uri="{FF2B5EF4-FFF2-40B4-BE49-F238E27FC236}">
              <a16:creationId xmlns:a16="http://schemas.microsoft.com/office/drawing/2014/main" id="{827F9B54-25D7-4753-A8B1-17058D0FFE98}"/>
            </a:ext>
          </a:extLst>
        </xdr:cNvPr>
        <xdr:cNvPicPr>
          <a:picLocks noChangeAspect="1"/>
        </xdr:cNvPicPr>
      </xdr:nvPicPr>
      <xdr:blipFill>
        <a:blip xmlns:r="http://schemas.openxmlformats.org/officeDocument/2006/relationships" r:embed="rId1"/>
        <a:stretch>
          <a:fillRect/>
        </a:stretch>
      </xdr:blipFill>
      <xdr:spPr>
        <a:xfrm>
          <a:off x="0" y="0"/>
          <a:ext cx="1049655" cy="482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9525</xdr:colOff>
      <xdr:row>3</xdr:row>
      <xdr:rowOff>9525</xdr:rowOff>
    </xdr:to>
    <xdr:pic>
      <xdr:nvPicPr>
        <xdr:cNvPr id="8284" name="Picture 1" descr="cid:1__=4DBBF4D0DFA0A3268f9e8a93d@cchellenic.com">
          <a:extLst>
            <a:ext uri="{FF2B5EF4-FFF2-40B4-BE49-F238E27FC236}">
              <a16:creationId xmlns:a16="http://schemas.microsoft.com/office/drawing/2014/main" id="{00000000-0008-0000-0300-00005C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0" y="723900"/>
          <a:ext cx="9525" cy="9525"/>
        </a:xfrm>
        <a:prstGeom prst="rect">
          <a:avLst/>
        </a:prstGeom>
        <a:noFill/>
        <a:ln w="9525">
          <a:noFill/>
          <a:miter lim="800000"/>
          <a:headEnd/>
          <a:tailEnd/>
        </a:ln>
      </xdr:spPr>
    </xdr:pic>
    <xdr:clientData/>
  </xdr:twoCellAnchor>
  <xdr:twoCellAnchor>
    <xdr:from>
      <xdr:col>1</xdr:col>
      <xdr:colOff>0</xdr:colOff>
      <xdr:row>3</xdr:row>
      <xdr:rowOff>0</xdr:rowOff>
    </xdr:from>
    <xdr:to>
      <xdr:col>1</xdr:col>
      <xdr:colOff>9525</xdr:colOff>
      <xdr:row>3</xdr:row>
      <xdr:rowOff>9525</xdr:rowOff>
    </xdr:to>
    <xdr:pic>
      <xdr:nvPicPr>
        <xdr:cNvPr id="8285" name="Picture 2" descr="cid:1__=4DBBF4D0DFA0A3268f9e8a93d@cchellenic.com">
          <a:extLst>
            <a:ext uri="{FF2B5EF4-FFF2-40B4-BE49-F238E27FC236}">
              <a16:creationId xmlns:a16="http://schemas.microsoft.com/office/drawing/2014/main" id="{00000000-0008-0000-0300-00005D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181225" y="723900"/>
          <a:ext cx="9525" cy="9525"/>
        </a:xfrm>
        <a:prstGeom prst="rect">
          <a:avLst/>
        </a:prstGeom>
        <a:noFill/>
        <a:ln w="9525">
          <a:noFill/>
          <a:miter lim="800000"/>
          <a:headEnd/>
          <a:tailEnd/>
        </a:ln>
      </xdr:spPr>
    </xdr:pic>
    <xdr:clientData/>
  </xdr:twoCellAnchor>
  <xdr:twoCellAnchor>
    <xdr:from>
      <xdr:col>2</xdr:col>
      <xdr:colOff>0</xdr:colOff>
      <xdr:row>3</xdr:row>
      <xdr:rowOff>0</xdr:rowOff>
    </xdr:from>
    <xdr:to>
      <xdr:col>2</xdr:col>
      <xdr:colOff>9525</xdr:colOff>
      <xdr:row>3</xdr:row>
      <xdr:rowOff>9525</xdr:rowOff>
    </xdr:to>
    <xdr:pic>
      <xdr:nvPicPr>
        <xdr:cNvPr id="8286" name="Picture 3" descr="cid:1__=4DBBF4D0DFA0A3268f9e8a93d@cchellenic.com">
          <a:extLst>
            <a:ext uri="{FF2B5EF4-FFF2-40B4-BE49-F238E27FC236}">
              <a16:creationId xmlns:a16="http://schemas.microsoft.com/office/drawing/2014/main" id="{00000000-0008-0000-0300-00005E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790825" y="723900"/>
          <a:ext cx="9525" cy="9525"/>
        </a:xfrm>
        <a:prstGeom prst="rect">
          <a:avLst/>
        </a:prstGeom>
        <a:noFill/>
        <a:ln w="9525">
          <a:noFill/>
          <a:miter lim="800000"/>
          <a:headEnd/>
          <a:tailEnd/>
        </a:ln>
      </xdr:spPr>
    </xdr:pic>
    <xdr:clientData/>
  </xdr:twoCellAnchor>
  <xdr:twoCellAnchor>
    <xdr:from>
      <xdr:col>3</xdr:col>
      <xdr:colOff>0</xdr:colOff>
      <xdr:row>3</xdr:row>
      <xdr:rowOff>0</xdr:rowOff>
    </xdr:from>
    <xdr:to>
      <xdr:col>3</xdr:col>
      <xdr:colOff>9525</xdr:colOff>
      <xdr:row>3</xdr:row>
      <xdr:rowOff>9525</xdr:rowOff>
    </xdr:to>
    <xdr:pic>
      <xdr:nvPicPr>
        <xdr:cNvPr id="8287" name="Picture 4" descr="cid:1__=4DBBF4D0DFA0A3268f9e8a93d@cchellenic.com">
          <a:extLst>
            <a:ext uri="{FF2B5EF4-FFF2-40B4-BE49-F238E27FC236}">
              <a16:creationId xmlns:a16="http://schemas.microsoft.com/office/drawing/2014/main" id="{00000000-0008-0000-0300-00005F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3400425" y="723900"/>
          <a:ext cx="9525" cy="9525"/>
        </a:xfrm>
        <a:prstGeom prst="rect">
          <a:avLst/>
        </a:prstGeom>
        <a:noFill/>
        <a:ln w="9525">
          <a:noFill/>
          <a:miter lim="800000"/>
          <a:headEnd/>
          <a:tailEnd/>
        </a:ln>
      </xdr:spPr>
    </xdr:pic>
    <xdr:clientData/>
  </xdr:twoCellAnchor>
  <xdr:twoCellAnchor>
    <xdr:from>
      <xdr:col>4</xdr:col>
      <xdr:colOff>0</xdr:colOff>
      <xdr:row>3</xdr:row>
      <xdr:rowOff>0</xdr:rowOff>
    </xdr:from>
    <xdr:to>
      <xdr:col>4</xdr:col>
      <xdr:colOff>9525</xdr:colOff>
      <xdr:row>3</xdr:row>
      <xdr:rowOff>9525</xdr:rowOff>
    </xdr:to>
    <xdr:pic>
      <xdr:nvPicPr>
        <xdr:cNvPr id="8288" name="Picture 5" descr="cid:1__=4DBBF4D0DFA0A3268f9e8a93d@cchellenic.com">
          <a:extLst>
            <a:ext uri="{FF2B5EF4-FFF2-40B4-BE49-F238E27FC236}">
              <a16:creationId xmlns:a16="http://schemas.microsoft.com/office/drawing/2014/main" id="{00000000-0008-0000-0300-000060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010025" y="723900"/>
          <a:ext cx="9525" cy="9525"/>
        </a:xfrm>
        <a:prstGeom prst="rect">
          <a:avLst/>
        </a:prstGeom>
        <a:noFill/>
        <a:ln w="9525">
          <a:noFill/>
          <a:miter lim="800000"/>
          <a:headEnd/>
          <a:tailEnd/>
        </a:ln>
      </xdr:spPr>
    </xdr:pic>
    <xdr:clientData/>
  </xdr:twoCellAnchor>
  <xdr:twoCellAnchor>
    <xdr:from>
      <xdr:col>5</xdr:col>
      <xdr:colOff>0</xdr:colOff>
      <xdr:row>3</xdr:row>
      <xdr:rowOff>0</xdr:rowOff>
    </xdr:from>
    <xdr:to>
      <xdr:col>5</xdr:col>
      <xdr:colOff>9525</xdr:colOff>
      <xdr:row>3</xdr:row>
      <xdr:rowOff>9525</xdr:rowOff>
    </xdr:to>
    <xdr:pic>
      <xdr:nvPicPr>
        <xdr:cNvPr id="8289" name="Picture 6" descr="cid:1__=4DBBF4D0DFA0A3268f9e8a93d@cchellenic.com">
          <a:extLst>
            <a:ext uri="{FF2B5EF4-FFF2-40B4-BE49-F238E27FC236}">
              <a16:creationId xmlns:a16="http://schemas.microsoft.com/office/drawing/2014/main" id="{00000000-0008-0000-0300-000061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619625" y="723900"/>
          <a:ext cx="9525" cy="9525"/>
        </a:xfrm>
        <a:prstGeom prst="rect">
          <a:avLst/>
        </a:prstGeom>
        <a:noFill/>
        <a:ln w="9525">
          <a:noFill/>
          <a:miter lim="800000"/>
          <a:headEnd/>
          <a:tailEnd/>
        </a:ln>
      </xdr:spPr>
    </xdr:pic>
    <xdr:clientData/>
  </xdr:twoCellAnchor>
  <xdr:twoCellAnchor>
    <xdr:from>
      <xdr:col>2</xdr:col>
      <xdr:colOff>0</xdr:colOff>
      <xdr:row>3</xdr:row>
      <xdr:rowOff>0</xdr:rowOff>
    </xdr:from>
    <xdr:to>
      <xdr:col>2</xdr:col>
      <xdr:colOff>9525</xdr:colOff>
      <xdr:row>3</xdr:row>
      <xdr:rowOff>9525</xdr:rowOff>
    </xdr:to>
    <xdr:pic>
      <xdr:nvPicPr>
        <xdr:cNvPr id="8290" name="Picture 7" descr="cid:1__=4DBBF4D0DFA0A3268f9e8a93d@cchellenic.com">
          <a:extLst>
            <a:ext uri="{FF2B5EF4-FFF2-40B4-BE49-F238E27FC236}">
              <a16:creationId xmlns:a16="http://schemas.microsoft.com/office/drawing/2014/main" id="{00000000-0008-0000-0300-000062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790825" y="723900"/>
          <a:ext cx="9525" cy="9525"/>
        </a:xfrm>
        <a:prstGeom prst="rect">
          <a:avLst/>
        </a:prstGeom>
        <a:noFill/>
        <a:ln w="9525">
          <a:noFill/>
          <a:miter lim="800000"/>
          <a:headEnd/>
          <a:tailEnd/>
        </a:ln>
      </xdr:spPr>
    </xdr:pic>
    <xdr:clientData/>
  </xdr:twoCellAnchor>
  <xdr:twoCellAnchor>
    <xdr:from>
      <xdr:col>3</xdr:col>
      <xdr:colOff>0</xdr:colOff>
      <xdr:row>3</xdr:row>
      <xdr:rowOff>0</xdr:rowOff>
    </xdr:from>
    <xdr:to>
      <xdr:col>3</xdr:col>
      <xdr:colOff>9525</xdr:colOff>
      <xdr:row>3</xdr:row>
      <xdr:rowOff>9525</xdr:rowOff>
    </xdr:to>
    <xdr:pic>
      <xdr:nvPicPr>
        <xdr:cNvPr id="8291" name="Picture 8" descr="cid:1__=4DBBF4D0DFA0A3268f9e8a93d@cchellenic.com">
          <a:extLst>
            <a:ext uri="{FF2B5EF4-FFF2-40B4-BE49-F238E27FC236}">
              <a16:creationId xmlns:a16="http://schemas.microsoft.com/office/drawing/2014/main" id="{00000000-0008-0000-0300-000063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3400425" y="723900"/>
          <a:ext cx="9525" cy="9525"/>
        </a:xfrm>
        <a:prstGeom prst="rect">
          <a:avLst/>
        </a:prstGeom>
        <a:noFill/>
        <a:ln w="9525">
          <a:noFill/>
          <a:miter lim="800000"/>
          <a:headEnd/>
          <a:tailEnd/>
        </a:ln>
      </xdr:spPr>
    </xdr:pic>
    <xdr:clientData/>
  </xdr:twoCellAnchor>
  <xdr:twoCellAnchor>
    <xdr:from>
      <xdr:col>4</xdr:col>
      <xdr:colOff>0</xdr:colOff>
      <xdr:row>3</xdr:row>
      <xdr:rowOff>0</xdr:rowOff>
    </xdr:from>
    <xdr:to>
      <xdr:col>4</xdr:col>
      <xdr:colOff>9525</xdr:colOff>
      <xdr:row>3</xdr:row>
      <xdr:rowOff>9525</xdr:rowOff>
    </xdr:to>
    <xdr:pic>
      <xdr:nvPicPr>
        <xdr:cNvPr id="8292" name="Picture 9" descr="cid:1__=4DBBF4D0DFA0A3268f9e8a93d@cchellenic.com">
          <a:extLst>
            <a:ext uri="{FF2B5EF4-FFF2-40B4-BE49-F238E27FC236}">
              <a16:creationId xmlns:a16="http://schemas.microsoft.com/office/drawing/2014/main" id="{00000000-0008-0000-0300-000064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010025" y="723900"/>
          <a:ext cx="9525" cy="9525"/>
        </a:xfrm>
        <a:prstGeom prst="rect">
          <a:avLst/>
        </a:prstGeom>
        <a:noFill/>
        <a:ln w="9525">
          <a:noFill/>
          <a:miter lim="800000"/>
          <a:headEnd/>
          <a:tailEnd/>
        </a:ln>
      </xdr:spPr>
    </xdr:pic>
    <xdr:clientData/>
  </xdr:twoCellAnchor>
  <xdr:twoCellAnchor>
    <xdr:from>
      <xdr:col>5</xdr:col>
      <xdr:colOff>0</xdr:colOff>
      <xdr:row>3</xdr:row>
      <xdr:rowOff>0</xdr:rowOff>
    </xdr:from>
    <xdr:to>
      <xdr:col>5</xdr:col>
      <xdr:colOff>9525</xdr:colOff>
      <xdr:row>3</xdr:row>
      <xdr:rowOff>9525</xdr:rowOff>
    </xdr:to>
    <xdr:pic>
      <xdr:nvPicPr>
        <xdr:cNvPr id="8293" name="Picture 10" descr="cid:1__=4DBBF4D0DFA0A3268f9e8a93d@cchellenic.com">
          <a:extLst>
            <a:ext uri="{FF2B5EF4-FFF2-40B4-BE49-F238E27FC236}">
              <a16:creationId xmlns:a16="http://schemas.microsoft.com/office/drawing/2014/main" id="{00000000-0008-0000-0300-000065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619625" y="723900"/>
          <a:ext cx="9525" cy="9525"/>
        </a:xfrm>
        <a:prstGeom prst="rect">
          <a:avLst/>
        </a:prstGeom>
        <a:noFill/>
        <a:ln w="9525">
          <a:noFill/>
          <a:miter lim="800000"/>
          <a:headEnd/>
          <a:tailEnd/>
        </a:ln>
      </xdr:spPr>
    </xdr:pic>
    <xdr:clientData/>
  </xdr:twoCellAnchor>
  <xdr:twoCellAnchor>
    <xdr:from>
      <xdr:col>6</xdr:col>
      <xdr:colOff>0</xdr:colOff>
      <xdr:row>3</xdr:row>
      <xdr:rowOff>0</xdr:rowOff>
    </xdr:from>
    <xdr:to>
      <xdr:col>6</xdr:col>
      <xdr:colOff>9525</xdr:colOff>
      <xdr:row>3</xdr:row>
      <xdr:rowOff>9525</xdr:rowOff>
    </xdr:to>
    <xdr:pic>
      <xdr:nvPicPr>
        <xdr:cNvPr id="8294" name="Picture 11" descr="cid:1__=4DBBF4D0DFA0A3268f9e8a93d@cchellenic.com">
          <a:extLst>
            <a:ext uri="{FF2B5EF4-FFF2-40B4-BE49-F238E27FC236}">
              <a16:creationId xmlns:a16="http://schemas.microsoft.com/office/drawing/2014/main" id="{00000000-0008-0000-0300-000066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229225" y="723900"/>
          <a:ext cx="9525" cy="9525"/>
        </a:xfrm>
        <a:prstGeom prst="rect">
          <a:avLst/>
        </a:prstGeom>
        <a:noFill/>
        <a:ln w="9525">
          <a:noFill/>
          <a:miter lim="800000"/>
          <a:headEnd/>
          <a:tailEnd/>
        </a:ln>
      </xdr:spPr>
    </xdr:pic>
    <xdr:clientData/>
  </xdr:twoCellAnchor>
  <xdr:twoCellAnchor>
    <xdr:from>
      <xdr:col>7</xdr:col>
      <xdr:colOff>0</xdr:colOff>
      <xdr:row>3</xdr:row>
      <xdr:rowOff>0</xdr:rowOff>
    </xdr:from>
    <xdr:to>
      <xdr:col>7</xdr:col>
      <xdr:colOff>9525</xdr:colOff>
      <xdr:row>3</xdr:row>
      <xdr:rowOff>9525</xdr:rowOff>
    </xdr:to>
    <xdr:pic>
      <xdr:nvPicPr>
        <xdr:cNvPr id="8295" name="Picture 12" descr="cid:1__=4DBBF4D0DFA0A3268f9e8a93d@cchellenic.com">
          <a:extLst>
            <a:ext uri="{FF2B5EF4-FFF2-40B4-BE49-F238E27FC236}">
              <a16:creationId xmlns:a16="http://schemas.microsoft.com/office/drawing/2014/main" id="{00000000-0008-0000-0300-000067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838825" y="723900"/>
          <a:ext cx="9525" cy="9525"/>
        </a:xfrm>
        <a:prstGeom prst="rect">
          <a:avLst/>
        </a:prstGeom>
        <a:noFill/>
        <a:ln w="9525">
          <a:noFill/>
          <a:miter lim="800000"/>
          <a:headEnd/>
          <a:tailEnd/>
        </a:ln>
      </xdr:spPr>
    </xdr:pic>
    <xdr:clientData/>
  </xdr:twoCellAnchor>
  <xdr:twoCellAnchor>
    <xdr:from>
      <xdr:col>8</xdr:col>
      <xdr:colOff>0</xdr:colOff>
      <xdr:row>3</xdr:row>
      <xdr:rowOff>0</xdr:rowOff>
    </xdr:from>
    <xdr:to>
      <xdr:col>8</xdr:col>
      <xdr:colOff>9525</xdr:colOff>
      <xdr:row>3</xdr:row>
      <xdr:rowOff>9525</xdr:rowOff>
    </xdr:to>
    <xdr:pic>
      <xdr:nvPicPr>
        <xdr:cNvPr id="16" name="Picture 12" descr="cid:1__=4DBBF4D0DFA0A3268f9e8a93d@cchellenic.com">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838825" y="723900"/>
          <a:ext cx="9525" cy="9525"/>
        </a:xfrm>
        <a:prstGeom prst="rect">
          <a:avLst/>
        </a:prstGeom>
        <a:noFill/>
        <a:ln w="9525">
          <a:noFill/>
          <a:miter lim="800000"/>
          <a:headEnd/>
          <a:tailEnd/>
        </a:ln>
      </xdr:spPr>
    </xdr:pic>
    <xdr:clientData/>
  </xdr:twoCellAnchor>
  <xdr:twoCellAnchor>
    <xdr:from>
      <xdr:col>10</xdr:col>
      <xdr:colOff>0</xdr:colOff>
      <xdr:row>3</xdr:row>
      <xdr:rowOff>0</xdr:rowOff>
    </xdr:from>
    <xdr:to>
      <xdr:col>10</xdr:col>
      <xdr:colOff>9525</xdr:colOff>
      <xdr:row>3</xdr:row>
      <xdr:rowOff>9525</xdr:rowOff>
    </xdr:to>
    <xdr:pic>
      <xdr:nvPicPr>
        <xdr:cNvPr id="17" name="Picture 12" descr="cid:1__=4DBBF4D0DFA0A3268f9e8a93d@cchellenic.com">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6515100" y="723900"/>
          <a:ext cx="9525" cy="9525"/>
        </a:xfrm>
        <a:prstGeom prst="rect">
          <a:avLst/>
        </a:prstGeom>
        <a:noFill/>
        <a:ln w="9525">
          <a:noFill/>
          <a:miter lim="800000"/>
          <a:headEnd/>
          <a:tailEnd/>
        </a:ln>
      </xdr:spPr>
    </xdr:pic>
    <xdr:clientData/>
  </xdr:twoCellAnchor>
  <xdr:twoCellAnchor>
    <xdr:from>
      <xdr:col>9</xdr:col>
      <xdr:colOff>0</xdr:colOff>
      <xdr:row>3</xdr:row>
      <xdr:rowOff>0</xdr:rowOff>
    </xdr:from>
    <xdr:to>
      <xdr:col>9</xdr:col>
      <xdr:colOff>9525</xdr:colOff>
      <xdr:row>3</xdr:row>
      <xdr:rowOff>9525</xdr:rowOff>
    </xdr:to>
    <xdr:pic>
      <xdr:nvPicPr>
        <xdr:cNvPr id="19" name="Picture 12" descr="cid:1__=4DBBF4D0DFA0A3268f9e8a93d@cchellenic.com">
          <a:extLst>
            <a:ext uri="{FF2B5EF4-FFF2-40B4-BE49-F238E27FC236}">
              <a16:creationId xmlns:a16="http://schemas.microsoft.com/office/drawing/2014/main" id="{18DBC8FA-FBE7-453C-B95C-0C60A27723D8}"/>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7795260" y="693420"/>
          <a:ext cx="9525" cy="9525"/>
        </a:xfrm>
        <a:prstGeom prst="rect">
          <a:avLst/>
        </a:prstGeom>
        <a:noFill/>
        <a:ln w="9525">
          <a:noFill/>
          <a:miter lim="800000"/>
          <a:headEnd/>
          <a:tailEnd/>
        </a:ln>
      </xdr:spPr>
    </xdr:pic>
    <xdr:clientData/>
  </xdr:twoCellAnchor>
  <xdr:twoCellAnchor>
    <xdr:from>
      <xdr:col>11</xdr:col>
      <xdr:colOff>0</xdr:colOff>
      <xdr:row>3</xdr:row>
      <xdr:rowOff>0</xdr:rowOff>
    </xdr:from>
    <xdr:to>
      <xdr:col>11</xdr:col>
      <xdr:colOff>9525</xdr:colOff>
      <xdr:row>3</xdr:row>
      <xdr:rowOff>9525</xdr:rowOff>
    </xdr:to>
    <xdr:pic>
      <xdr:nvPicPr>
        <xdr:cNvPr id="18" name="Picture 12" descr="cid:1__=4DBBF4D0DFA0A3268f9e8a93d@cchellenic.com">
          <a:extLst>
            <a:ext uri="{FF2B5EF4-FFF2-40B4-BE49-F238E27FC236}">
              <a16:creationId xmlns:a16="http://schemas.microsoft.com/office/drawing/2014/main" id="{CF764475-CBCA-493D-805B-5F58BB90837F}"/>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7658100" y="693420"/>
          <a:ext cx="9525" cy="9525"/>
        </a:xfrm>
        <a:prstGeom prst="rect">
          <a:avLst/>
        </a:prstGeom>
        <a:noFill/>
        <a:ln w="9525">
          <a:noFill/>
          <a:miter lim="800000"/>
          <a:headEnd/>
          <a:tailEnd/>
        </a:ln>
      </xdr:spPr>
    </xdr:pic>
    <xdr:clientData/>
  </xdr:twoCellAnchor>
  <xdr:twoCellAnchor>
    <xdr:from>
      <xdr:col>12</xdr:col>
      <xdr:colOff>0</xdr:colOff>
      <xdr:row>3</xdr:row>
      <xdr:rowOff>0</xdr:rowOff>
    </xdr:from>
    <xdr:to>
      <xdr:col>12</xdr:col>
      <xdr:colOff>9525</xdr:colOff>
      <xdr:row>3</xdr:row>
      <xdr:rowOff>9525</xdr:rowOff>
    </xdr:to>
    <xdr:pic>
      <xdr:nvPicPr>
        <xdr:cNvPr id="20" name="Picture 12" descr="cid:1__=4DBBF4D0DFA0A3268f9e8a93d@cchellenic.com">
          <a:extLst>
            <a:ext uri="{FF2B5EF4-FFF2-40B4-BE49-F238E27FC236}">
              <a16:creationId xmlns:a16="http://schemas.microsoft.com/office/drawing/2014/main" id="{FD0762B9-764C-44C0-BCE9-5F066089052F}"/>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8298180" y="693420"/>
          <a:ext cx="9525" cy="95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1045845</xdr:colOff>
      <xdr:row>2</xdr:row>
      <xdr:rowOff>73872</xdr:rowOff>
    </xdr:to>
    <xdr:pic>
      <xdr:nvPicPr>
        <xdr:cNvPr id="2" name="Picture 1">
          <a:extLst>
            <a:ext uri="{FF2B5EF4-FFF2-40B4-BE49-F238E27FC236}">
              <a16:creationId xmlns:a16="http://schemas.microsoft.com/office/drawing/2014/main" id="{6A03D8AD-DB55-40A3-857A-091355576C92}"/>
            </a:ext>
          </a:extLst>
        </xdr:cNvPr>
        <xdr:cNvPicPr>
          <a:picLocks noChangeAspect="1"/>
        </xdr:cNvPicPr>
      </xdr:nvPicPr>
      <xdr:blipFill>
        <a:blip xmlns:r="http://schemas.openxmlformats.org/officeDocument/2006/relationships" r:embed="rId3"/>
        <a:stretch>
          <a:fillRect/>
        </a:stretch>
      </xdr:blipFill>
      <xdr:spPr>
        <a:xfrm>
          <a:off x="0" y="0"/>
          <a:ext cx="1049655" cy="482600"/>
        </a:xfrm>
        <a:prstGeom prst="rect">
          <a:avLst/>
        </a:prstGeom>
      </xdr:spPr>
    </xdr:pic>
    <xdr:clientData/>
  </xdr:twoCellAnchor>
  <xdr:twoCellAnchor>
    <xdr:from>
      <xdr:col>13</xdr:col>
      <xdr:colOff>0</xdr:colOff>
      <xdr:row>3</xdr:row>
      <xdr:rowOff>0</xdr:rowOff>
    </xdr:from>
    <xdr:to>
      <xdr:col>13</xdr:col>
      <xdr:colOff>9525</xdr:colOff>
      <xdr:row>3</xdr:row>
      <xdr:rowOff>9525</xdr:rowOff>
    </xdr:to>
    <xdr:pic>
      <xdr:nvPicPr>
        <xdr:cNvPr id="21" name="Picture 12" descr="cid:1__=4DBBF4D0DFA0A3268f9e8a93d@cchellenic.com">
          <a:extLst>
            <a:ext uri="{FF2B5EF4-FFF2-40B4-BE49-F238E27FC236}">
              <a16:creationId xmlns:a16="http://schemas.microsoft.com/office/drawing/2014/main" id="{7D7B5258-5691-4CB8-8894-58B851BDA26D}"/>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10056813" y="579438"/>
          <a:ext cx="9525" cy="95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5.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8.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9.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783CF-0682-4602-B1BD-3D9E898ED6CE}">
  <sheetPr>
    <tabColor rgb="FFFF0000"/>
  </sheetPr>
  <dimension ref="B4:AD34"/>
  <sheetViews>
    <sheetView showGridLines="0" zoomScale="70" zoomScaleNormal="70" workbookViewId="0">
      <selection activeCell="E10" sqref="E10"/>
    </sheetView>
  </sheetViews>
  <sheetFormatPr defaultColWidth="9.453125" defaultRowHeight="14"/>
  <cols>
    <col min="1" max="1" width="9.453125" style="54"/>
    <col min="2" max="2" width="45.6328125" style="54" bestFit="1" customWidth="1"/>
    <col min="3" max="3" width="8.36328125" style="54" customWidth="1"/>
    <col min="4" max="4" width="12.6328125" style="54" customWidth="1"/>
    <col min="5" max="5" width="8.54296875" style="54" bestFit="1" customWidth="1"/>
    <col min="6" max="6" width="1.90625" style="54" customWidth="1"/>
    <col min="7" max="7" width="8.36328125" style="54" bestFit="1" customWidth="1"/>
    <col min="8" max="8" width="8.08984375" style="54" bestFit="1" customWidth="1"/>
    <col min="9" max="9" width="8.36328125" style="54" bestFit="1" customWidth="1"/>
    <col min="10" max="10" width="7.90625" style="54" bestFit="1" customWidth="1"/>
    <col min="11" max="11" width="1.90625" style="54" customWidth="1"/>
    <col min="12" max="12" width="8.36328125" style="54" bestFit="1" customWidth="1"/>
    <col min="13" max="13" width="8.08984375" style="54" bestFit="1" customWidth="1"/>
    <col min="14" max="14" width="8.36328125" style="54" bestFit="1" customWidth="1"/>
    <col min="15" max="15" width="7.90625" style="54" bestFit="1" customWidth="1"/>
    <col min="16" max="16" width="1.90625" style="54" customWidth="1"/>
    <col min="17" max="17" width="8.36328125" style="54" bestFit="1" customWidth="1"/>
    <col min="18" max="18" width="8.08984375" style="54" bestFit="1" customWidth="1"/>
    <col min="19" max="19" width="8.36328125" style="54" bestFit="1" customWidth="1"/>
    <col min="20" max="20" width="7.90625" style="54" bestFit="1" customWidth="1"/>
    <col min="21" max="21" width="1.90625" style="54" customWidth="1"/>
    <col min="22" max="22" width="8.36328125" style="54" bestFit="1" customWidth="1"/>
    <col min="23" max="23" width="8.08984375" style="54" bestFit="1" customWidth="1"/>
    <col min="24" max="24" width="8.36328125" style="54" bestFit="1" customWidth="1"/>
    <col min="25" max="25" width="7.90625" style="54" bestFit="1" customWidth="1"/>
    <col min="26" max="26" width="1.90625" style="54" customWidth="1"/>
    <col min="27" max="27" width="8.36328125" style="54" bestFit="1" customWidth="1"/>
    <col min="28" max="28" width="8.08984375" style="54" bestFit="1" customWidth="1"/>
    <col min="29" max="29" width="8.36328125" style="54" bestFit="1" customWidth="1"/>
    <col min="30" max="30" width="7.90625" style="54" bestFit="1" customWidth="1"/>
    <col min="31" max="16384" width="9.453125" style="54"/>
  </cols>
  <sheetData>
    <row r="4" spans="2:30">
      <c r="B4" s="459"/>
      <c r="C4" s="514">
        <v>2024</v>
      </c>
      <c r="D4" s="514"/>
      <c r="E4" s="514"/>
      <c r="F4" s="492"/>
      <c r="G4" s="515">
        <v>2023</v>
      </c>
      <c r="H4" s="515"/>
      <c r="I4" s="515"/>
      <c r="J4" s="515"/>
      <c r="K4" s="492"/>
      <c r="L4" s="515">
        <v>2022</v>
      </c>
      <c r="M4" s="515"/>
      <c r="N4" s="515"/>
      <c r="O4" s="515"/>
      <c r="P4" s="492"/>
      <c r="Q4" s="515">
        <v>2021</v>
      </c>
      <c r="R4" s="515"/>
      <c r="S4" s="515"/>
      <c r="T4" s="515"/>
      <c r="U4" s="492"/>
      <c r="V4" s="515">
        <v>2020</v>
      </c>
      <c r="W4" s="515"/>
      <c r="X4" s="515"/>
      <c r="Y4" s="515"/>
      <c r="Z4" s="492"/>
      <c r="AA4" s="515">
        <v>2019</v>
      </c>
      <c r="AB4" s="515"/>
      <c r="AC4" s="515"/>
      <c r="AD4" s="515"/>
    </row>
    <row r="5" spans="2:30">
      <c r="B5" s="459"/>
      <c r="C5" s="460" t="s">
        <v>211</v>
      </c>
      <c r="D5" s="460" t="s">
        <v>212</v>
      </c>
      <c r="E5" s="460" t="s">
        <v>214</v>
      </c>
      <c r="F5" s="493"/>
      <c r="G5" s="460" t="s">
        <v>202</v>
      </c>
      <c r="H5" s="460" t="s">
        <v>201</v>
      </c>
      <c r="I5" s="460" t="s">
        <v>204</v>
      </c>
      <c r="J5" s="460" t="s">
        <v>205</v>
      </c>
      <c r="K5" s="493"/>
      <c r="L5" s="460" t="s">
        <v>195</v>
      </c>
      <c r="M5" s="460" t="s">
        <v>196</v>
      </c>
      <c r="N5" s="460" t="s">
        <v>197</v>
      </c>
      <c r="O5" s="460" t="s">
        <v>198</v>
      </c>
      <c r="P5" s="493"/>
      <c r="Q5" s="460" t="s">
        <v>183</v>
      </c>
      <c r="R5" s="460" t="s">
        <v>184</v>
      </c>
      <c r="S5" s="460" t="s">
        <v>185</v>
      </c>
      <c r="T5" s="460" t="s">
        <v>186</v>
      </c>
      <c r="U5" s="493"/>
      <c r="V5" s="460" t="s">
        <v>187</v>
      </c>
      <c r="W5" s="460" t="s">
        <v>188</v>
      </c>
      <c r="X5" s="460" t="s">
        <v>189</v>
      </c>
      <c r="Y5" s="460" t="s">
        <v>190</v>
      </c>
      <c r="Z5" s="493"/>
      <c r="AA5" s="460" t="s">
        <v>191</v>
      </c>
      <c r="AB5" s="460" t="s">
        <v>192</v>
      </c>
      <c r="AC5" s="460" t="s">
        <v>193</v>
      </c>
      <c r="AD5" s="460" t="s">
        <v>194</v>
      </c>
    </row>
    <row r="6" spans="2:30">
      <c r="B6" s="86" t="s">
        <v>173</v>
      </c>
      <c r="C6" s="86"/>
      <c r="D6" s="86"/>
      <c r="E6" s="86"/>
      <c r="F6" s="86"/>
      <c r="G6" s="86"/>
      <c r="H6" s="86"/>
      <c r="I6" s="86"/>
      <c r="J6" s="86"/>
      <c r="K6" s="86"/>
      <c r="L6" s="86"/>
      <c r="M6" s="86"/>
      <c r="N6" s="86"/>
      <c r="O6" s="86"/>
      <c r="P6" s="86"/>
      <c r="U6" s="86"/>
      <c r="Z6" s="86"/>
    </row>
    <row r="7" spans="2:30">
      <c r="B7" s="54" t="s">
        <v>0</v>
      </c>
      <c r="C7" s="494">
        <v>-3.7999999999999999E-2</v>
      </c>
      <c r="D7" s="494">
        <v>-2E-3</v>
      </c>
      <c r="E7" s="494">
        <v>8.9999999999999993E-3</v>
      </c>
      <c r="G7" s="462">
        <v>5.9643687064291379E-2</v>
      </c>
      <c r="H7" s="462">
        <v>2E-3</v>
      </c>
      <c r="I7" s="462">
        <v>-7.0999999999999994E-2</v>
      </c>
      <c r="J7" s="462">
        <v>-2.4E-2</v>
      </c>
      <c r="L7" s="462">
        <v>9.6000000000000002E-2</v>
      </c>
      <c r="M7" s="462">
        <v>0.114</v>
      </c>
      <c r="N7" s="462">
        <v>0.10128707330721894</v>
      </c>
      <c r="O7" s="462">
        <v>9.1371418884556674E-2</v>
      </c>
      <c r="Q7" s="462">
        <v>-4.7E-2</v>
      </c>
      <c r="R7" s="462">
        <v>0.11799999999999999</v>
      </c>
      <c r="S7" s="462">
        <v>0.08</v>
      </c>
      <c r="T7" s="462">
        <v>9.8714844477556296E-2</v>
      </c>
      <c r="V7" s="462">
        <v>-5.5E-2</v>
      </c>
      <c r="W7" s="462">
        <v>-0.19</v>
      </c>
      <c r="X7" s="462">
        <v>-8.5999999999999993E-2</v>
      </c>
      <c r="Y7" s="462">
        <v>-0.14000000000000001</v>
      </c>
      <c r="AA7" s="462">
        <v>2E-3</v>
      </c>
      <c r="AB7" s="462">
        <v>4.0000000000000001E-3</v>
      </c>
      <c r="AC7" s="462">
        <v>1.2E-2</v>
      </c>
      <c r="AD7" s="462">
        <v>8.0000000000000002E-3</v>
      </c>
    </row>
    <row r="8" spans="2:30">
      <c r="B8" s="54" t="s">
        <v>7</v>
      </c>
      <c r="C8" s="494">
        <v>4.2000000000000003E-2</v>
      </c>
      <c r="D8" s="494">
        <v>3.1E-2</v>
      </c>
      <c r="E8" s="494">
        <v>2.5000000000000001E-2</v>
      </c>
      <c r="G8" s="462">
        <v>0</v>
      </c>
      <c r="H8" s="462">
        <v>-1.2999999999999999E-2</v>
      </c>
      <c r="I8" s="462">
        <v>-2.5999999999999999E-2</v>
      </c>
      <c r="J8" s="462">
        <v>-1.7000000000000001E-2</v>
      </c>
      <c r="L8" s="462">
        <v>0.24</v>
      </c>
      <c r="M8" s="462">
        <v>0.20699999999999999</v>
      </c>
      <c r="N8" s="462">
        <v>0.11204013377926426</v>
      </c>
      <c r="O8" s="462">
        <v>0.15234657039711194</v>
      </c>
      <c r="Q8" s="462">
        <v>-0.114</v>
      </c>
      <c r="R8" s="462">
        <v>6.0000000000000001E-3</v>
      </c>
      <c r="S8" s="462">
        <v>-1.9E-2</v>
      </c>
      <c r="T8" s="462">
        <v>8.250424654210109E-3</v>
      </c>
      <c r="V8" s="462">
        <v>1.7999999999999999E-2</v>
      </c>
      <c r="W8" s="462">
        <v>-8.8999999999999996E-2</v>
      </c>
      <c r="X8" s="462">
        <v>2.5000000000000001E-2</v>
      </c>
      <c r="Y8" s="462">
        <v>-4.3999999999999997E-2</v>
      </c>
      <c r="AA8" s="462">
        <v>2.5999999999999999E-2</v>
      </c>
      <c r="AB8" s="462">
        <v>1.4E-2</v>
      </c>
      <c r="AC8" s="462">
        <v>-0.04</v>
      </c>
      <c r="AD8" s="462">
        <v>5.0000000000000001E-3</v>
      </c>
    </row>
    <row r="9" spans="2:30">
      <c r="B9" s="54" t="s">
        <v>15</v>
      </c>
      <c r="C9" s="494">
        <v>3.2000000000000001E-2</v>
      </c>
      <c r="D9" s="494">
        <v>4.2999999999999997E-2</v>
      </c>
      <c r="E9" s="494">
        <v>5.6000000000000001E-2</v>
      </c>
      <c r="G9" s="462">
        <v>-8.4286094123903338E-2</v>
      </c>
      <c r="H9" s="462">
        <v>-1.4E-2</v>
      </c>
      <c r="I9" s="462">
        <v>7.9000000000000001E-2</v>
      </c>
      <c r="J9" s="462">
        <v>4.2999999999999997E-2</v>
      </c>
      <c r="L9" s="462">
        <v>8.5000000000000006E-2</v>
      </c>
      <c r="M9" s="462">
        <v>-2.5999999999999999E-2</v>
      </c>
      <c r="N9" s="462">
        <v>-0.19449355897954029</v>
      </c>
      <c r="O9" s="462">
        <v>-0.10857670716975766</v>
      </c>
      <c r="Q9" s="462">
        <v>0.14499999999999999</v>
      </c>
      <c r="R9" s="462">
        <v>0.22900000000000001</v>
      </c>
      <c r="S9" s="462">
        <v>0.21299999999999999</v>
      </c>
      <c r="T9" s="462">
        <v>0.20385976740266321</v>
      </c>
      <c r="V9" s="462">
        <v>5.2999999999999999E-2</v>
      </c>
      <c r="W9" s="462">
        <v>-5.0999999999999997E-2</v>
      </c>
      <c r="X9" s="462">
        <v>5.8000000000000003E-2</v>
      </c>
      <c r="Y9" s="462">
        <v>3.0000000000000001E-3</v>
      </c>
      <c r="AA9" s="462">
        <v>5.7000000000000002E-2</v>
      </c>
      <c r="AB9" s="462">
        <v>3.4000000000000002E-2</v>
      </c>
      <c r="AC9" s="462">
        <v>8.0000000000000002E-3</v>
      </c>
      <c r="AD9" s="462">
        <v>4.3999999999999997E-2</v>
      </c>
    </row>
    <row r="10" spans="2:30">
      <c r="B10" s="53" t="s">
        <v>174</v>
      </c>
      <c r="C10" s="495">
        <v>1.7999999999999999E-2</v>
      </c>
      <c r="D10" s="495">
        <v>3.1E-2</v>
      </c>
      <c r="E10" s="495">
        <v>0.04</v>
      </c>
      <c r="F10" s="53"/>
      <c r="G10" s="463">
        <v>-3.963666391412056E-2</v>
      </c>
      <c r="H10" s="463">
        <v>-0.01</v>
      </c>
      <c r="I10" s="463">
        <v>2.1999999999999999E-2</v>
      </c>
      <c r="J10" s="463">
        <v>1.7000000000000001E-2</v>
      </c>
      <c r="K10" s="53"/>
      <c r="L10" s="463">
        <v>0.113</v>
      </c>
      <c r="M10" s="463">
        <v>4.7483802254371169E-2</v>
      </c>
      <c r="N10" s="463">
        <v>-6.5543071161048683E-2</v>
      </c>
      <c r="O10" s="463">
        <v>-1.4755253450490925E-2</v>
      </c>
      <c r="P10" s="53"/>
      <c r="Q10" s="463">
        <v>4.7E-2</v>
      </c>
      <c r="R10" s="463">
        <v>0.159</v>
      </c>
      <c r="S10" s="463">
        <v>0.13100000000000001</v>
      </c>
      <c r="T10" s="463">
        <v>0.1396797153024909</v>
      </c>
      <c r="U10" s="53"/>
      <c r="V10" s="463">
        <v>1.6E-2</v>
      </c>
      <c r="W10" s="463">
        <v>-9.7000000000000003E-2</v>
      </c>
      <c r="X10" s="463">
        <v>0.01</v>
      </c>
      <c r="Y10" s="463">
        <v>-4.5999999999999999E-2</v>
      </c>
      <c r="Z10" s="53"/>
      <c r="AA10" s="463">
        <v>3.5000000000000003E-2</v>
      </c>
      <c r="AB10" s="463">
        <v>2.1999999999999999E-2</v>
      </c>
      <c r="AC10" s="463">
        <v>-1E-3</v>
      </c>
      <c r="AD10" s="463">
        <v>2.5999999999999999E-2</v>
      </c>
    </row>
    <row r="11" spans="2:30">
      <c r="Q11" s="458"/>
      <c r="R11" s="458"/>
      <c r="S11" s="458"/>
      <c r="T11" s="458"/>
    </row>
    <row r="12" spans="2:30">
      <c r="B12" s="86" t="s">
        <v>175</v>
      </c>
      <c r="C12" s="86"/>
      <c r="D12" s="86"/>
      <c r="E12" s="86"/>
      <c r="F12" s="86"/>
      <c r="G12" s="86"/>
      <c r="H12" s="86"/>
      <c r="I12" s="86"/>
      <c r="J12" s="86"/>
      <c r="K12" s="86"/>
      <c r="L12" s="86"/>
      <c r="M12" s="86"/>
      <c r="N12" s="86"/>
      <c r="O12" s="86"/>
      <c r="P12" s="86"/>
      <c r="U12" s="86"/>
      <c r="Z12" s="86"/>
    </row>
    <row r="13" spans="2:30">
      <c r="B13" s="54" t="s">
        <v>0</v>
      </c>
      <c r="C13" s="494">
        <v>9.2999999999999999E-2</v>
      </c>
      <c r="D13" s="494">
        <v>4.4999999999999998E-2</v>
      </c>
      <c r="E13" s="494">
        <v>0.02</v>
      </c>
      <c r="G13" s="462">
        <v>0.13821428100788741</v>
      </c>
      <c r="H13" s="462">
        <v>0.16700000000000001</v>
      </c>
      <c r="I13" s="462">
        <v>0.16</v>
      </c>
      <c r="J13" s="462">
        <v>0.151</v>
      </c>
      <c r="L13" s="462">
        <v>7.9000000000000001E-2</v>
      </c>
      <c r="M13" s="462">
        <v>6.8313939501780038E-2</v>
      </c>
      <c r="N13" s="462">
        <v>8.3465209736012388E-2</v>
      </c>
      <c r="O13" s="462">
        <v>8.6495486252893758E-2</v>
      </c>
      <c r="Q13" s="462">
        <v>1.4999999999999999E-2</v>
      </c>
      <c r="R13" s="462">
        <v>4.8000000000000001E-2</v>
      </c>
      <c r="S13" s="462">
        <v>1.7000000000000001E-2</v>
      </c>
      <c r="T13" s="462">
        <v>3.7080538267180163E-2</v>
      </c>
      <c r="V13" s="462">
        <v>-1.7999999999999999E-2</v>
      </c>
      <c r="W13" s="462">
        <v>-2.5999999999999999E-2</v>
      </c>
      <c r="X13" s="462">
        <v>3.5000000000000003E-2</v>
      </c>
      <c r="Y13" s="462">
        <v>-1E-3</v>
      </c>
      <c r="AA13" s="462">
        <v>1.2E-2</v>
      </c>
      <c r="AB13" s="462">
        <v>1.4999999999999999E-2</v>
      </c>
      <c r="AC13" s="462">
        <v>3.0000000000000001E-3</v>
      </c>
      <c r="AD13" s="462">
        <v>4.0000000000000001E-3</v>
      </c>
    </row>
    <row r="14" spans="2:30">
      <c r="B14" s="54" t="s">
        <v>7</v>
      </c>
      <c r="C14" s="494">
        <v>0.08</v>
      </c>
      <c r="D14" s="494">
        <v>8.1000000000000003E-2</v>
      </c>
      <c r="E14" s="494">
        <v>9.8000000000000004E-2</v>
      </c>
      <c r="G14" s="462">
        <v>0.26016508712931796</v>
      </c>
      <c r="H14" s="462">
        <v>0.252</v>
      </c>
      <c r="I14" s="462">
        <v>0.19</v>
      </c>
      <c r="J14" s="462">
        <v>0.20200000000000001</v>
      </c>
      <c r="L14" s="462">
        <v>0.13300000000000001</v>
      </c>
      <c r="M14" s="462">
        <v>0.10679602833089581</v>
      </c>
      <c r="N14" s="462">
        <v>0.1070594396438857</v>
      </c>
      <c r="O14" s="462">
        <v>0.11945553817782778</v>
      </c>
      <c r="Q14" s="462">
        <v>8.8999999999999996E-2</v>
      </c>
      <c r="R14" s="462">
        <v>0.16900000000000001</v>
      </c>
      <c r="S14" s="462">
        <v>0.14000000000000001</v>
      </c>
      <c r="T14" s="462">
        <v>0.1702310481790692</v>
      </c>
      <c r="V14" s="462">
        <v>-4.5999999999999999E-2</v>
      </c>
      <c r="W14" s="462">
        <v>-8.2000000000000003E-2</v>
      </c>
      <c r="X14" s="462">
        <v>-2.5999999999999999E-2</v>
      </c>
      <c r="Y14" s="462">
        <v>-6.2E-2</v>
      </c>
      <c r="AA14" s="462">
        <v>3.7999999999999999E-2</v>
      </c>
      <c r="AB14" s="462">
        <v>3.9E-2</v>
      </c>
      <c r="AC14" s="462">
        <v>4.5999999999999999E-2</v>
      </c>
      <c r="AD14" s="462">
        <v>3.6999999999999998E-2</v>
      </c>
    </row>
    <row r="15" spans="2:30">
      <c r="B15" s="54" t="s">
        <v>15</v>
      </c>
      <c r="C15" s="494">
        <v>0.153</v>
      </c>
      <c r="D15" s="494">
        <v>0.17599999999999999</v>
      </c>
      <c r="E15" s="494">
        <v>0.17399999999999999</v>
      </c>
      <c r="G15" s="462">
        <v>0.195278520233956</v>
      </c>
      <c r="H15" s="462">
        <v>0.17699999999999999</v>
      </c>
      <c r="I15" s="462">
        <v>0.128</v>
      </c>
      <c r="J15" s="462">
        <v>0.15</v>
      </c>
      <c r="L15" s="462">
        <v>0.13100000000000001</v>
      </c>
      <c r="M15" s="462">
        <v>0.17334815434260686</v>
      </c>
      <c r="N15" s="462">
        <v>0.16455466028583651</v>
      </c>
      <c r="O15" s="462">
        <v>0.18368007725028102</v>
      </c>
      <c r="Q15" s="462">
        <v>3.2000000000000001E-2</v>
      </c>
      <c r="R15" s="462">
        <v>6.0999999999999999E-2</v>
      </c>
      <c r="S15" s="462">
        <v>3.9E-2</v>
      </c>
      <c r="T15" s="462">
        <v>5.615310819261965E-2</v>
      </c>
      <c r="V15" s="462">
        <v>-3.5999999999999997E-2</v>
      </c>
      <c r="W15" s="462">
        <v>-4.5999999999999999E-2</v>
      </c>
      <c r="X15" s="462">
        <v>-1.4999999999999999E-2</v>
      </c>
      <c r="Y15" s="462">
        <v>-3.1E-2</v>
      </c>
      <c r="AA15" s="462">
        <v>1.0999999999999999E-2</v>
      </c>
      <c r="AB15" s="462">
        <v>5.0000000000000001E-3</v>
      </c>
      <c r="AC15" s="462">
        <v>3.1E-2</v>
      </c>
      <c r="AD15" s="462">
        <v>1.2E-2</v>
      </c>
    </row>
    <row r="16" spans="2:30">
      <c r="B16" s="53" t="s">
        <v>176</v>
      </c>
      <c r="C16" s="495">
        <v>0.106</v>
      </c>
      <c r="D16" s="495">
        <v>0.10199999999999999</v>
      </c>
      <c r="E16" s="495">
        <v>9.5000000000000001E-2</v>
      </c>
      <c r="F16" s="53"/>
      <c r="G16" s="463">
        <v>0.2097649995507761</v>
      </c>
      <c r="H16" s="463">
        <v>0.19</v>
      </c>
      <c r="I16" s="463">
        <v>0.129</v>
      </c>
      <c r="J16" s="463">
        <v>0.15</v>
      </c>
      <c r="K16" s="53"/>
      <c r="L16" s="463">
        <v>0.11600000000000001</v>
      </c>
      <c r="M16" s="463">
        <v>0.13961729041716001</v>
      </c>
      <c r="N16" s="463">
        <v>0.14967485322555171</v>
      </c>
      <c r="O16" s="463">
        <v>0.1588942549067108</v>
      </c>
      <c r="P16" s="53"/>
      <c r="Q16" s="463">
        <v>1.2999999999999999E-2</v>
      </c>
      <c r="R16" s="463">
        <v>6.2E-2</v>
      </c>
      <c r="S16" s="463">
        <v>3.5000000000000003E-2</v>
      </c>
      <c r="T16" s="463">
        <v>5.8082352044515062E-2</v>
      </c>
      <c r="U16" s="53"/>
      <c r="V16" s="463">
        <v>-4.1000000000000002E-2</v>
      </c>
      <c r="W16" s="463">
        <v>-0.06</v>
      </c>
      <c r="X16" s="463">
        <v>-1.2E-2</v>
      </c>
      <c r="Y16" s="463">
        <v>-4.1000000000000002E-2</v>
      </c>
      <c r="Z16" s="53"/>
      <c r="AA16" s="463">
        <v>1.0999999999999999E-2</v>
      </c>
      <c r="AB16" s="463">
        <v>1.2E-2</v>
      </c>
      <c r="AC16" s="463">
        <v>2.4E-2</v>
      </c>
      <c r="AD16" s="463">
        <v>1.0999999999999999E-2</v>
      </c>
    </row>
    <row r="17" spans="2:30">
      <c r="G17" s="79"/>
      <c r="H17" s="79"/>
      <c r="I17" s="79"/>
      <c r="J17" s="79"/>
      <c r="L17" s="79"/>
      <c r="M17" s="79"/>
      <c r="N17" s="79"/>
      <c r="O17" s="79"/>
      <c r="Q17" s="79"/>
      <c r="R17" s="79"/>
      <c r="S17" s="79"/>
      <c r="T17" s="79"/>
    </row>
    <row r="18" spans="2:30">
      <c r="B18" s="86" t="s">
        <v>177</v>
      </c>
      <c r="C18" s="86"/>
      <c r="D18" s="86"/>
      <c r="E18" s="86"/>
      <c r="F18" s="86"/>
      <c r="K18" s="86"/>
      <c r="P18" s="86"/>
      <c r="U18" s="86"/>
      <c r="Z18" s="86"/>
    </row>
    <row r="19" spans="2:30">
      <c r="B19" s="54" t="s">
        <v>0</v>
      </c>
      <c r="C19" s="494">
        <v>5.0999999999999997E-2</v>
      </c>
      <c r="D19" s="494">
        <v>4.3999999999999997E-2</v>
      </c>
      <c r="E19" s="494">
        <v>0.03</v>
      </c>
      <c r="G19" s="462">
        <v>0.20610157739642937</v>
      </c>
      <c r="H19" s="462">
        <v>0.16900000000000001</v>
      </c>
      <c r="I19" s="462">
        <v>7.6999999999999999E-2</v>
      </c>
      <c r="J19" s="462">
        <v>0.123</v>
      </c>
      <c r="L19" s="462">
        <v>0.182</v>
      </c>
      <c r="M19" s="462">
        <v>0.19060725959057298</v>
      </c>
      <c r="N19" s="462">
        <v>0.19320622986036534</v>
      </c>
      <c r="O19" s="462">
        <v>0.18577012044348717</v>
      </c>
      <c r="Q19" s="462">
        <v>-3.2000000000000001E-2</v>
      </c>
      <c r="R19" s="462">
        <v>0.17100000000000001</v>
      </c>
      <c r="S19" s="462">
        <v>9.8000000000000004E-2</v>
      </c>
      <c r="T19" s="462">
        <v>0.13945578231292521</v>
      </c>
      <c r="V19" s="462">
        <v>-7.1999999999999995E-2</v>
      </c>
      <c r="W19" s="462">
        <v>-0.21099999999999999</v>
      </c>
      <c r="X19" s="462">
        <v>-5.3999999999999999E-2</v>
      </c>
      <c r="Y19" s="462">
        <v>-0.14099999999999999</v>
      </c>
      <c r="AA19" s="462">
        <v>1.4999999999999999E-2</v>
      </c>
      <c r="AB19" s="462">
        <v>1.9E-2</v>
      </c>
      <c r="AC19" s="462">
        <v>1.4999999999999999E-2</v>
      </c>
      <c r="AD19" s="462">
        <v>1.2999999999999999E-2</v>
      </c>
    </row>
    <row r="20" spans="2:30">
      <c r="B20" s="54" t="s">
        <v>7</v>
      </c>
      <c r="C20" s="494">
        <v>0.125</v>
      </c>
      <c r="D20" s="494">
        <v>0.115</v>
      </c>
      <c r="E20" s="494">
        <v>0.126</v>
      </c>
      <c r="G20" s="462">
        <v>0.26016508712931813</v>
      </c>
      <c r="H20" s="462">
        <v>0.23599999999999999</v>
      </c>
      <c r="I20" s="462">
        <v>0.159</v>
      </c>
      <c r="J20" s="462">
        <v>0.182</v>
      </c>
      <c r="L20" s="462">
        <v>0.40500000000000003</v>
      </c>
      <c r="M20" s="462">
        <v>0.33580830239622006</v>
      </c>
      <c r="N20" s="462">
        <v>0.23109452736318403</v>
      </c>
      <c r="O20" s="462">
        <v>0.29000075013127308</v>
      </c>
      <c r="Q20" s="462">
        <v>-3.5000000000000003E-2</v>
      </c>
      <c r="R20" s="462">
        <v>0.17599999999999999</v>
      </c>
      <c r="S20" s="462">
        <v>0.11799999999999999</v>
      </c>
      <c r="T20" s="462">
        <v>0.17988595127008788</v>
      </c>
      <c r="V20" s="462">
        <v>-2.9000000000000001E-2</v>
      </c>
      <c r="W20" s="462">
        <v>-0.16400000000000001</v>
      </c>
      <c r="X20" s="462">
        <v>-1E-3</v>
      </c>
      <c r="Y20" s="462">
        <v>-0.10299999999999999</v>
      </c>
      <c r="AA20" s="462">
        <v>6.5000000000000002E-2</v>
      </c>
      <c r="AB20" s="462">
        <v>5.2999999999999999E-2</v>
      </c>
      <c r="AC20" s="462">
        <v>4.0000000000000001E-3</v>
      </c>
      <c r="AD20" s="462">
        <v>4.2000000000000003E-2</v>
      </c>
    </row>
    <row r="21" spans="2:30">
      <c r="B21" s="54" t="s">
        <v>15</v>
      </c>
      <c r="C21" s="494">
        <v>0.19</v>
      </c>
      <c r="D21" s="494">
        <v>0.22700000000000001</v>
      </c>
      <c r="E21" s="494">
        <v>0.24099999999999999</v>
      </c>
      <c r="G21" s="462">
        <v>9.4533162373237001E-2</v>
      </c>
      <c r="H21" s="462">
        <v>0.16</v>
      </c>
      <c r="I21" s="462">
        <v>0.218</v>
      </c>
      <c r="J21" s="462">
        <v>0.19900000000000001</v>
      </c>
      <c r="L21" s="462">
        <v>0.22700000000000001</v>
      </c>
      <c r="M21" s="462">
        <v>0.14248457477259718</v>
      </c>
      <c r="N21" s="462">
        <v>-6.1943720219365367E-2</v>
      </c>
      <c r="O21" s="462">
        <v>5.5159992120001125E-2</v>
      </c>
      <c r="Q21" s="462">
        <v>0.183</v>
      </c>
      <c r="R21" s="462">
        <v>0.30299999999999999</v>
      </c>
      <c r="S21" s="462">
        <v>0.26100000000000001</v>
      </c>
      <c r="T21" s="462">
        <v>0.27146023517036699</v>
      </c>
      <c r="V21" s="462">
        <v>1.4999999999999999E-2</v>
      </c>
      <c r="W21" s="462">
        <v>-9.5000000000000001E-2</v>
      </c>
      <c r="X21" s="462">
        <v>4.2000000000000003E-2</v>
      </c>
      <c r="Y21" s="462">
        <v>-2.8000000000000001E-2</v>
      </c>
      <c r="AA21" s="462">
        <v>6.9000000000000006E-2</v>
      </c>
      <c r="AB21" s="462">
        <v>0.04</v>
      </c>
      <c r="AC21" s="462">
        <v>3.9E-2</v>
      </c>
      <c r="AD21" s="462">
        <v>5.6000000000000001E-2</v>
      </c>
    </row>
    <row r="22" spans="2:30">
      <c r="B22" s="53" t="s">
        <v>178</v>
      </c>
      <c r="C22" s="495">
        <v>0.126</v>
      </c>
      <c r="D22" s="495">
        <v>0.13600000000000001</v>
      </c>
      <c r="E22" s="495">
        <v>0.13900000000000001</v>
      </c>
      <c r="F22" s="53"/>
      <c r="G22" s="463">
        <v>0.16181395084851574</v>
      </c>
      <c r="H22" s="463">
        <v>0.17799999999999999</v>
      </c>
      <c r="I22" s="463">
        <v>0.153</v>
      </c>
      <c r="J22" s="463">
        <v>0.16900000000000001</v>
      </c>
      <c r="K22" s="53"/>
      <c r="L22" s="463">
        <v>0.24199999999999999</v>
      </c>
      <c r="M22" s="463">
        <v>0.19373065248099058</v>
      </c>
      <c r="N22" s="463">
        <v>7.432163250852114E-2</v>
      </c>
      <c r="O22" s="463">
        <v>0.14179447645324444</v>
      </c>
      <c r="P22" s="53"/>
      <c r="Q22" s="463">
        <v>6.0999999999999999E-2</v>
      </c>
      <c r="R22" s="463">
        <v>0.23100000000000001</v>
      </c>
      <c r="S22" s="463">
        <v>0.17100000000000001</v>
      </c>
      <c r="T22" s="463">
        <v>0.20587499374468288</v>
      </c>
      <c r="U22" s="53"/>
      <c r="V22" s="463">
        <v>-2.5999999999999999E-2</v>
      </c>
      <c r="W22" s="463">
        <v>-0.151</v>
      </c>
      <c r="X22" s="463">
        <v>-3.0000000000000001E-3</v>
      </c>
      <c r="Y22" s="463">
        <v>-8.5000000000000006E-2</v>
      </c>
      <c r="Z22" s="53"/>
      <c r="AA22" s="463">
        <v>4.7E-2</v>
      </c>
      <c r="AB22" s="463">
        <v>3.4000000000000002E-2</v>
      </c>
      <c r="AC22" s="463">
        <v>2.3E-2</v>
      </c>
      <c r="AD22" s="463">
        <v>3.6999999999999998E-2</v>
      </c>
    </row>
    <row r="23" spans="2:30">
      <c r="G23" s="458"/>
      <c r="H23" s="458"/>
      <c r="I23" s="458"/>
      <c r="J23" s="458"/>
      <c r="L23" s="458"/>
      <c r="M23" s="458"/>
      <c r="N23" s="458"/>
      <c r="O23" s="458"/>
      <c r="Q23" s="458"/>
      <c r="R23" s="458"/>
      <c r="S23" s="458"/>
      <c r="T23" s="458"/>
    </row>
    <row r="24" spans="2:30">
      <c r="B24" s="86" t="s">
        <v>179</v>
      </c>
      <c r="C24" s="86"/>
      <c r="D24" s="86"/>
      <c r="E24" s="86"/>
      <c r="F24" s="86"/>
      <c r="K24" s="86"/>
      <c r="P24" s="86"/>
      <c r="U24" s="86"/>
      <c r="Z24" s="86"/>
    </row>
    <row r="25" spans="2:30">
      <c r="B25" s="54" t="s">
        <v>0</v>
      </c>
      <c r="C25" s="464"/>
      <c r="D25" s="465">
        <v>0.111</v>
      </c>
      <c r="E25" s="464"/>
      <c r="G25" s="464"/>
      <c r="H25" s="464">
        <v>0.20799999999999999</v>
      </c>
      <c r="I25" s="464"/>
      <c r="J25" s="464">
        <v>0.23</v>
      </c>
      <c r="L25" s="464"/>
      <c r="M25" s="465">
        <v>0.2653429602888086</v>
      </c>
      <c r="N25" s="465"/>
      <c r="O25" s="465">
        <v>1.3071895424836602E-2</v>
      </c>
      <c r="Q25" s="464"/>
      <c r="R25" s="462" t="s">
        <v>83</v>
      </c>
      <c r="S25" s="464"/>
      <c r="T25" s="462">
        <v>0.43648519579751666</v>
      </c>
      <c r="V25" s="464"/>
      <c r="W25" s="462">
        <v>-0.56899999999999995</v>
      </c>
      <c r="X25" s="464"/>
      <c r="Y25" s="462">
        <v>-0.19800000000000001</v>
      </c>
      <c r="AA25" s="464"/>
      <c r="AB25" s="462">
        <v>0.01</v>
      </c>
      <c r="AC25" s="464"/>
      <c r="AD25" s="462">
        <v>5.1999999999999998E-2</v>
      </c>
    </row>
    <row r="26" spans="2:30">
      <c r="B26" s="54" t="s">
        <v>7</v>
      </c>
      <c r="C26" s="464"/>
      <c r="D26" s="465">
        <v>0.623</v>
      </c>
      <c r="E26" s="464"/>
      <c r="G26" s="464"/>
      <c r="H26" s="464">
        <v>0.27200000000000002</v>
      </c>
      <c r="I26" s="464"/>
      <c r="J26" s="464">
        <v>0.26900000000000002</v>
      </c>
      <c r="L26" s="464"/>
      <c r="M26" s="465">
        <v>0.63809523809523816</v>
      </c>
      <c r="N26" s="465"/>
      <c r="O26" s="465">
        <v>0.12732615083251714</v>
      </c>
      <c r="Q26" s="464"/>
      <c r="R26" s="462">
        <v>0.78800000000000003</v>
      </c>
      <c r="S26" s="464"/>
      <c r="T26" s="462">
        <v>6.2874251497006206E-2</v>
      </c>
      <c r="V26" s="464"/>
      <c r="W26" s="462">
        <v>-0.63400000000000001</v>
      </c>
      <c r="X26" s="464"/>
      <c r="Y26" s="462">
        <v>-0.27100000000000002</v>
      </c>
      <c r="AA26" s="464"/>
      <c r="AB26" s="462">
        <v>-2.7E-2</v>
      </c>
      <c r="AC26" s="464"/>
      <c r="AD26" s="462">
        <v>7.5999999999999998E-2</v>
      </c>
    </row>
    <row r="27" spans="2:30">
      <c r="B27" s="54" t="s">
        <v>15</v>
      </c>
      <c r="C27" s="464"/>
      <c r="D27" s="465">
        <v>-8.5999999999999993E-2</v>
      </c>
      <c r="E27" s="464"/>
      <c r="G27" s="464"/>
      <c r="H27" s="464">
        <v>0.13900000000000001</v>
      </c>
      <c r="I27" s="464"/>
      <c r="J27" s="464">
        <v>0.11700000000000001</v>
      </c>
      <c r="L27" s="464"/>
      <c r="M27" s="465">
        <v>0.15543813298106554</v>
      </c>
      <c r="N27" s="465"/>
      <c r="O27" s="465">
        <v>-1.1491760624457838E-2</v>
      </c>
      <c r="Q27" s="464"/>
      <c r="R27" s="462">
        <v>0.60799999999999998</v>
      </c>
      <c r="S27" s="464"/>
      <c r="T27" s="462">
        <v>0.20409323479249553</v>
      </c>
      <c r="V27" s="464"/>
      <c r="W27" s="462">
        <v>-0.157</v>
      </c>
      <c r="X27" s="464"/>
      <c r="Y27" s="462">
        <v>6.2E-2</v>
      </c>
      <c r="AA27" s="464"/>
      <c r="AB27" s="462">
        <v>0.09</v>
      </c>
      <c r="AC27" s="464"/>
      <c r="AD27" s="462">
        <v>0.11799999999999999</v>
      </c>
    </row>
    <row r="28" spans="2:30">
      <c r="B28" s="53" t="s">
        <v>180</v>
      </c>
      <c r="C28" s="464"/>
      <c r="D28" s="466">
        <v>7.4999999999999997E-2</v>
      </c>
      <c r="E28" s="464"/>
      <c r="F28" s="53"/>
      <c r="G28" s="464"/>
      <c r="H28" s="471">
        <v>0.17699999999999999</v>
      </c>
      <c r="I28" s="471"/>
      <c r="J28" s="471">
        <v>0.17699999999999999</v>
      </c>
      <c r="K28" s="53"/>
      <c r="L28" s="464"/>
      <c r="M28" s="466">
        <v>0.22956145100162401</v>
      </c>
      <c r="N28" s="466"/>
      <c r="O28" s="466">
        <v>1.3459105027033168E-2</v>
      </c>
      <c r="P28" s="53"/>
      <c r="Q28" s="464"/>
      <c r="R28" s="463">
        <v>0.77400000000000002</v>
      </c>
      <c r="S28" s="464"/>
      <c r="T28" s="463">
        <v>0.25627456909585722</v>
      </c>
      <c r="U28" s="53"/>
      <c r="V28" s="464"/>
      <c r="W28" s="463">
        <v>-0.38500000000000001</v>
      </c>
      <c r="X28" s="464"/>
      <c r="Y28" s="463">
        <v>-9.4E-2</v>
      </c>
      <c r="Z28" s="53"/>
      <c r="AA28" s="464"/>
      <c r="AB28" s="463">
        <v>0.04</v>
      </c>
      <c r="AC28" s="464"/>
      <c r="AD28" s="463">
        <v>8.5999999999999993E-2</v>
      </c>
    </row>
    <row r="29" spans="2:30">
      <c r="Q29" s="458"/>
      <c r="R29" s="458"/>
      <c r="S29" s="458"/>
      <c r="T29" s="458"/>
      <c r="X29" s="458"/>
      <c r="AC29" s="458"/>
    </row>
    <row r="30" spans="2:30">
      <c r="B30" s="86" t="s">
        <v>181</v>
      </c>
      <c r="C30" s="86"/>
      <c r="D30" s="86"/>
      <c r="E30" s="86"/>
      <c r="F30" s="86"/>
      <c r="G30" s="86"/>
      <c r="H30" s="86"/>
      <c r="I30" s="86"/>
      <c r="J30" s="86"/>
      <c r="K30" s="86"/>
      <c r="L30" s="86"/>
      <c r="M30" s="86"/>
      <c r="N30" s="86"/>
      <c r="O30" s="86"/>
      <c r="P30" s="86"/>
      <c r="U30" s="86"/>
      <c r="Z30" s="86"/>
    </row>
    <row r="31" spans="2:30">
      <c r="B31" s="54" t="s">
        <v>0</v>
      </c>
      <c r="C31" s="464"/>
      <c r="D31" s="467">
        <v>70</v>
      </c>
      <c r="E31" s="464"/>
      <c r="G31" s="464"/>
      <c r="H31" s="467">
        <v>30</v>
      </c>
      <c r="I31" s="467"/>
      <c r="J31" s="467">
        <v>100</v>
      </c>
      <c r="L31" s="464"/>
      <c r="M31" s="467">
        <v>60</v>
      </c>
      <c r="N31" s="467"/>
      <c r="O31" s="467">
        <v>-180</v>
      </c>
      <c r="Q31" s="464"/>
      <c r="R31" s="469">
        <v>440</v>
      </c>
      <c r="S31" s="464"/>
      <c r="T31" s="469">
        <v>250</v>
      </c>
      <c r="V31" s="464"/>
      <c r="W31" s="469">
        <v>-420</v>
      </c>
      <c r="X31" s="464"/>
      <c r="Y31" s="469">
        <v>-70</v>
      </c>
      <c r="AA31" s="464"/>
      <c r="AB31" s="469">
        <v>-10</v>
      </c>
      <c r="AC31" s="464"/>
      <c r="AD31" s="469">
        <v>40</v>
      </c>
    </row>
    <row r="32" spans="2:30">
      <c r="B32" s="54" t="s">
        <v>7</v>
      </c>
      <c r="C32" s="464"/>
      <c r="D32" s="467">
        <v>310</v>
      </c>
      <c r="E32" s="464"/>
      <c r="G32" s="464"/>
      <c r="H32" s="467">
        <v>20</v>
      </c>
      <c r="I32" s="467"/>
      <c r="J32" s="467">
        <v>50</v>
      </c>
      <c r="L32" s="464"/>
      <c r="M32" s="467">
        <v>120</v>
      </c>
      <c r="N32" s="467"/>
      <c r="O32" s="467">
        <v>-100</v>
      </c>
      <c r="Q32" s="464"/>
      <c r="R32" s="469">
        <v>190</v>
      </c>
      <c r="S32" s="464"/>
      <c r="T32" s="469">
        <v>-90</v>
      </c>
      <c r="V32" s="464"/>
      <c r="W32" s="469">
        <v>-470</v>
      </c>
      <c r="X32" s="464"/>
      <c r="Y32" s="469">
        <v>-200</v>
      </c>
      <c r="AA32" s="464"/>
      <c r="AB32" s="469">
        <v>-70</v>
      </c>
      <c r="AC32" s="464"/>
      <c r="AD32" s="469">
        <v>30</v>
      </c>
    </row>
    <row r="33" spans="2:30">
      <c r="B33" s="54" t="s">
        <v>15</v>
      </c>
      <c r="C33" s="464"/>
      <c r="D33" s="467">
        <v>-370</v>
      </c>
      <c r="E33" s="464"/>
      <c r="G33" s="464"/>
      <c r="H33" s="467">
        <v>-20</v>
      </c>
      <c r="I33" s="467"/>
      <c r="J33" s="467">
        <v>-80</v>
      </c>
      <c r="L33" s="464"/>
      <c r="M33" s="467">
        <v>20</v>
      </c>
      <c r="N33" s="467"/>
      <c r="O33" s="467">
        <v>-80</v>
      </c>
      <c r="Q33" s="464"/>
      <c r="R33" s="469">
        <v>250</v>
      </c>
      <c r="S33" s="464"/>
      <c r="T33" s="469">
        <v>-70</v>
      </c>
      <c r="V33" s="464"/>
      <c r="W33" s="469">
        <v>-70</v>
      </c>
      <c r="X33" s="464"/>
      <c r="Y33" s="469">
        <v>100</v>
      </c>
      <c r="AA33" s="464"/>
      <c r="AB33" s="469">
        <v>50</v>
      </c>
      <c r="AC33" s="464"/>
      <c r="AD33" s="469">
        <v>50</v>
      </c>
    </row>
    <row r="34" spans="2:30">
      <c r="B34" s="53" t="s">
        <v>182</v>
      </c>
      <c r="C34" s="464"/>
      <c r="D34" s="468">
        <v>-60</v>
      </c>
      <c r="E34" s="464"/>
      <c r="F34" s="53"/>
      <c r="G34" s="464"/>
      <c r="H34" s="468">
        <v>0</v>
      </c>
      <c r="I34" s="468"/>
      <c r="J34" s="468">
        <v>10</v>
      </c>
      <c r="K34" s="53"/>
      <c r="L34" s="464"/>
      <c r="M34" s="468">
        <v>30</v>
      </c>
      <c r="N34" s="468"/>
      <c r="O34" s="468">
        <v>-130</v>
      </c>
      <c r="P34" s="53"/>
      <c r="Q34" s="464"/>
      <c r="R34" s="470">
        <v>320</v>
      </c>
      <c r="S34" s="464"/>
      <c r="T34" s="470">
        <v>50</v>
      </c>
      <c r="U34" s="53"/>
      <c r="V34" s="464"/>
      <c r="W34" s="470">
        <v>-270</v>
      </c>
      <c r="X34" s="464"/>
      <c r="Y34" s="470">
        <v>-10</v>
      </c>
      <c r="Z34" s="53"/>
      <c r="AA34" s="464"/>
      <c r="AB34" s="470">
        <v>10</v>
      </c>
      <c r="AC34" s="464"/>
      <c r="AD34" s="470">
        <v>40</v>
      </c>
    </row>
  </sheetData>
  <mergeCells count="6">
    <mergeCell ref="C4:E4"/>
    <mergeCell ref="Q4:T4"/>
    <mergeCell ref="V4:Y4"/>
    <mergeCell ref="AA4:AD4"/>
    <mergeCell ref="L4:O4"/>
    <mergeCell ref="G4:J4"/>
  </mergeCells>
  <pageMargins left="0.7" right="0.7" top="0.75" bottom="0.75" header="0.3" footer="0.3"/>
  <pageSetup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2:AU108"/>
  <sheetViews>
    <sheetView showGridLines="0" zoomScale="70" zoomScaleNormal="70" workbookViewId="0">
      <selection activeCell="D42" sqref="D42"/>
    </sheetView>
  </sheetViews>
  <sheetFormatPr defaultColWidth="9.453125" defaultRowHeight="12.5" outlineLevelCol="1"/>
  <cols>
    <col min="1" max="1" width="57.453125" style="2" bestFit="1" customWidth="1"/>
    <col min="2" max="5" width="10.453125" style="1" customWidth="1" outlineLevel="1"/>
    <col min="6" max="6" width="10.54296875" style="1" customWidth="1" outlineLevel="1"/>
    <col min="7" max="7" width="9.453125" style="1" customWidth="1" outlineLevel="1"/>
    <col min="8" max="13" width="9.08984375" style="1" customWidth="1" outlineLevel="1"/>
    <col min="14" max="16" width="9.08984375" style="1" bestFit="1" customWidth="1"/>
    <col min="17" max="17" width="9.08984375" style="2" bestFit="1" customWidth="1"/>
    <col min="18" max="18" width="22.90625" style="478" bestFit="1" customWidth="1"/>
    <col min="19" max="19" width="10.6328125" style="479" bestFit="1" customWidth="1"/>
    <col min="20" max="20" width="45.54296875" style="2" bestFit="1" customWidth="1"/>
    <col min="21" max="16384" width="9.453125" style="2"/>
  </cols>
  <sheetData>
    <row r="2" spans="1:19" ht="19">
      <c r="A2" s="47" t="s">
        <v>164</v>
      </c>
      <c r="B2" s="350"/>
      <c r="C2" s="350"/>
      <c r="D2" s="350"/>
      <c r="E2" s="350"/>
      <c r="F2" s="350"/>
      <c r="G2" s="350"/>
      <c r="H2" s="350"/>
      <c r="I2" s="350"/>
      <c r="J2" s="350"/>
      <c r="K2" s="350"/>
      <c r="L2" s="350"/>
      <c r="M2" s="350"/>
      <c r="N2" s="350"/>
      <c r="O2" s="350"/>
      <c r="P2" s="350"/>
    </row>
    <row r="3" spans="1:19" ht="13" thickBot="1"/>
    <row r="4" spans="1:19" ht="20">
      <c r="A4" s="365" t="s">
        <v>87</v>
      </c>
      <c r="B4" s="369"/>
      <c r="C4" s="370"/>
      <c r="D4" s="370"/>
      <c r="E4" s="50" t="s">
        <v>26</v>
      </c>
      <c r="F4" s="371"/>
      <c r="G4" s="372"/>
      <c r="H4" s="372"/>
      <c r="I4" s="372"/>
      <c r="J4" s="372"/>
      <c r="K4" s="372"/>
      <c r="L4" s="372"/>
      <c r="M4" s="372"/>
      <c r="N4" s="372"/>
      <c r="O4" s="372"/>
      <c r="P4" s="372"/>
      <c r="Q4" s="373"/>
    </row>
    <row r="5" spans="1:19" s="6" customFormat="1" ht="14.5" thickBot="1">
      <c r="A5" s="263" t="s">
        <v>161</v>
      </c>
      <c r="B5" s="160">
        <v>2008</v>
      </c>
      <c r="C5" s="159">
        <v>2009</v>
      </c>
      <c r="D5" s="159">
        <v>2010</v>
      </c>
      <c r="E5" s="160" t="s">
        <v>66</v>
      </c>
      <c r="F5" s="161" t="s">
        <v>67</v>
      </c>
      <c r="G5" s="159">
        <v>2013</v>
      </c>
      <c r="H5" s="159">
        <v>2014</v>
      </c>
      <c r="I5" s="159">
        <v>2015</v>
      </c>
      <c r="J5" s="159">
        <v>2016</v>
      </c>
      <c r="K5" s="159">
        <v>2017</v>
      </c>
      <c r="L5" s="159">
        <v>2018</v>
      </c>
      <c r="M5" s="159">
        <v>2019</v>
      </c>
      <c r="N5" s="159">
        <v>2020</v>
      </c>
      <c r="O5" s="159">
        <v>2021</v>
      </c>
      <c r="P5" s="159">
        <v>2022</v>
      </c>
      <c r="Q5" s="161">
        <v>2023</v>
      </c>
      <c r="R5" s="477"/>
      <c r="S5" s="475"/>
    </row>
    <row r="6" spans="1:19" ht="14">
      <c r="A6" s="296" t="s">
        <v>162</v>
      </c>
      <c r="B6" s="196">
        <f>+'Annual Volume figures'!B71</f>
        <v>2115.5</v>
      </c>
      <c r="C6" s="172">
        <f>+'Annual Volume figures'!C71</f>
        <v>2069.3000000000002</v>
      </c>
      <c r="D6" s="172">
        <f>'Interim Financial Statements'!G6</f>
        <v>2100</v>
      </c>
      <c r="E6" s="196">
        <f>+'Annual Volume figures'!E71</f>
        <v>2087.4</v>
      </c>
      <c r="F6" s="362">
        <f>+'Annual Volume figures'!F71</f>
        <v>2084.6999999999998</v>
      </c>
      <c r="G6" s="172">
        <f>+'Annual Volume figures'!G71</f>
        <v>2060.5</v>
      </c>
      <c r="H6" s="172">
        <f>+'Annual Volume figures'!H71</f>
        <v>2002.8999999999999</v>
      </c>
      <c r="I6" s="172">
        <f>+'Annual Volume figures'!I71</f>
        <v>2054.9500000000003</v>
      </c>
      <c r="J6" s="172">
        <v>2057.9</v>
      </c>
      <c r="K6" s="172">
        <v>2104.1</v>
      </c>
      <c r="L6" s="172">
        <v>2192.3000000000002</v>
      </c>
      <c r="M6" s="172">
        <v>2264.5</v>
      </c>
      <c r="N6" s="172">
        <v>2135.6</v>
      </c>
      <c r="O6" s="172">
        <v>2412.6999999999998</v>
      </c>
      <c r="P6" s="172">
        <v>2711.8</v>
      </c>
      <c r="Q6" s="362">
        <v>2835.5</v>
      </c>
    </row>
    <row r="7" spans="1:19" ht="14">
      <c r="A7" s="366" t="s">
        <v>141</v>
      </c>
      <c r="B7" s="139">
        <v>4.7898999999999997E-2</v>
      </c>
      <c r="C7" s="138">
        <f t="shared" ref="C7:H7" si="0">+C6/B6-1</f>
        <v>-2.1838808792247644E-2</v>
      </c>
      <c r="D7" s="138">
        <f t="shared" si="0"/>
        <v>1.483593485719803E-2</v>
      </c>
      <c r="E7" s="139">
        <f t="shared" si="0"/>
        <v>-6.0000000000000053E-3</v>
      </c>
      <c r="F7" s="140">
        <f t="shared" si="0"/>
        <v>-1.2934751365336616E-3</v>
      </c>
      <c r="G7" s="138">
        <f t="shared" si="0"/>
        <v>-1.1608384899505886E-2</v>
      </c>
      <c r="H7" s="138">
        <f t="shared" si="0"/>
        <v>-2.7954380004853285E-2</v>
      </c>
      <c r="I7" s="138">
        <f t="shared" ref="I7:Q7" si="1">+I6/H6-1</f>
        <v>2.5987318388337011E-2</v>
      </c>
      <c r="J7" s="138">
        <f t="shared" si="1"/>
        <v>1.4355580427747316E-3</v>
      </c>
      <c r="K7" s="138">
        <f t="shared" si="1"/>
        <v>2.2450070460177773E-2</v>
      </c>
      <c r="L7" s="138">
        <f t="shared" si="1"/>
        <v>4.1918159783280284E-2</v>
      </c>
      <c r="M7" s="138">
        <f t="shared" si="1"/>
        <v>3.2933448889294281E-2</v>
      </c>
      <c r="N7" s="138">
        <f t="shared" si="1"/>
        <v>-5.6922057849414953E-2</v>
      </c>
      <c r="O7" s="138">
        <f t="shared" si="1"/>
        <v>0.1297527626896422</v>
      </c>
      <c r="P7" s="138">
        <f t="shared" si="1"/>
        <v>0.12396899738881761</v>
      </c>
      <c r="Q7" s="140">
        <f t="shared" si="1"/>
        <v>4.5615458367136208E-2</v>
      </c>
      <c r="S7" s="486"/>
    </row>
    <row r="8" spans="1:19" ht="14">
      <c r="A8" s="92" t="s">
        <v>107</v>
      </c>
      <c r="B8" s="196">
        <v>6980.7</v>
      </c>
      <c r="C8" s="172">
        <v>6543.6</v>
      </c>
      <c r="D8" s="172">
        <v>6793.6</v>
      </c>
      <c r="E8" s="196">
        <f>'Interim Financial Statements'!N8</f>
        <v>6824.3</v>
      </c>
      <c r="F8" s="362">
        <f>'Interim Financial Statements'!Y8</f>
        <v>7044.7</v>
      </c>
      <c r="G8" s="172">
        <f>'Interim Financial Statements'!AE8</f>
        <v>6874</v>
      </c>
      <c r="H8" s="172">
        <f>'Interim Financial Statements'!AK8</f>
        <v>6510.2</v>
      </c>
      <c r="I8" s="172">
        <f>'Interim Financial Statements'!AM8</f>
        <v>6346.1</v>
      </c>
      <c r="J8" s="172">
        <f>'Interim Financial Statements'!AO8</f>
        <v>6219.0297204000008</v>
      </c>
      <c r="K8" s="172">
        <v>6522</v>
      </c>
      <c r="L8" s="172">
        <v>6657.1</v>
      </c>
      <c r="M8" s="172">
        <v>7026</v>
      </c>
      <c r="N8" s="172">
        <v>6131.8</v>
      </c>
      <c r="O8" s="172">
        <v>7168.4</v>
      </c>
      <c r="P8" s="172">
        <v>9198.4</v>
      </c>
      <c r="Q8" s="362">
        <v>10184</v>
      </c>
    </row>
    <row r="9" spans="1:19" ht="15" customHeight="1">
      <c r="A9" s="366" t="s">
        <v>141</v>
      </c>
      <c r="B9" s="139">
        <v>0.08</v>
      </c>
      <c r="C9" s="138">
        <f>+C8/B8-1</f>
        <v>-6.2615497013193466E-2</v>
      </c>
      <c r="D9" s="138">
        <f>+D8/C8-1</f>
        <v>3.8205269270737752E-2</v>
      </c>
      <c r="E9" s="139">
        <f>+E8/D8-1</f>
        <v>4.5189590202543428E-3</v>
      </c>
      <c r="F9" s="140">
        <f>+F8/E8-1</f>
        <v>3.2296352739475065E-2</v>
      </c>
      <c r="G9" s="138">
        <f>+G8/F8-1</f>
        <v>-2.4230982156798753E-2</v>
      </c>
      <c r="H9" s="138">
        <f>'Interim Financial Statements'!AK9</f>
        <v>-5.2924061681699185E-2</v>
      </c>
      <c r="I9" s="138">
        <f>'Interim Financial Statements'!AM9</f>
        <v>-2.5206598875610498E-2</v>
      </c>
      <c r="J9" s="138">
        <f>'Interim Financial Statements'!AO9</f>
        <v>-2.0023365468555432E-2</v>
      </c>
      <c r="K9" s="138">
        <f>'Interim Financial Statements'!AQ9</f>
        <v>4.871664764781225E-2</v>
      </c>
      <c r="L9" s="138">
        <f t="shared" ref="L9:Q9" si="2">+L8/K8-1</f>
        <v>2.0714504753143181E-2</v>
      </c>
      <c r="M9" s="138">
        <f t="shared" si="2"/>
        <v>5.5414519835964571E-2</v>
      </c>
      <c r="N9" s="138">
        <f t="shared" si="2"/>
        <v>-0.12727013948192423</v>
      </c>
      <c r="O9" s="138">
        <f t="shared" si="2"/>
        <v>0.16905313284842949</v>
      </c>
      <c r="P9" s="138">
        <f t="shared" si="2"/>
        <v>0.28318732213604147</v>
      </c>
      <c r="Q9" s="140">
        <f t="shared" si="2"/>
        <v>0.10714906940337454</v>
      </c>
      <c r="S9" s="486"/>
    </row>
    <row r="10" spans="1:19" ht="14">
      <c r="A10" s="296" t="s">
        <v>27</v>
      </c>
      <c r="B10" s="196">
        <v>-4169.6000000000004</v>
      </c>
      <c r="C10" s="172">
        <v>-3905.5</v>
      </c>
      <c r="D10" s="172">
        <v>-4048.6</v>
      </c>
      <c r="E10" s="196">
        <f>'Interim Financial Statements'!N10</f>
        <v>-4254.7</v>
      </c>
      <c r="F10" s="362">
        <f>'Interim Financial Statements'!Y10</f>
        <v>-4522.2000000000007</v>
      </c>
      <c r="G10" s="172">
        <f>'Interim Financial Statements'!AE10</f>
        <v>-4438.5</v>
      </c>
      <c r="H10" s="172">
        <f>'Interim Financial Statements'!AK10</f>
        <v>-4192.5</v>
      </c>
      <c r="I10" s="172">
        <f>'Interim Financial Statements'!AM10</f>
        <v>-4018.7</v>
      </c>
      <c r="J10" s="172">
        <f>'Interim Financial Statements'!AO10</f>
        <v>-3920.2</v>
      </c>
      <c r="K10" s="172">
        <f>'Interim Financial Statements'!AQ10</f>
        <v>-4083</v>
      </c>
      <c r="L10" s="172">
        <v>-4141.8</v>
      </c>
      <c r="M10" s="172">
        <v>-4380.3999999999996</v>
      </c>
      <c r="N10" s="172">
        <v>-3810.3</v>
      </c>
      <c r="O10" s="172">
        <v>-4570.2</v>
      </c>
      <c r="P10" s="172">
        <v>-6054.2</v>
      </c>
      <c r="Q10" s="362">
        <v>-6626.6</v>
      </c>
    </row>
    <row r="11" spans="1:19" ht="14">
      <c r="A11" s="366" t="s">
        <v>141</v>
      </c>
      <c r="B11" s="139">
        <v>0.1</v>
      </c>
      <c r="C11" s="138">
        <f>+C10/B10-1</f>
        <v>-6.3339409056024643E-2</v>
      </c>
      <c r="D11" s="138">
        <f>+D10/C10-1</f>
        <v>3.6640635001920385E-2</v>
      </c>
      <c r="E11" s="139">
        <f>+E10/D10-1</f>
        <v>5.0906486192757949E-2</v>
      </c>
      <c r="F11" s="140">
        <f>+F10/E10-1</f>
        <v>6.2871647824758625E-2</v>
      </c>
      <c r="G11" s="138">
        <f>+G10/F10-1</f>
        <v>-1.8508690460395494E-2</v>
      </c>
      <c r="H11" s="138">
        <f>'Interim Financial Statements'!AK11</f>
        <v>5.5424129773572153E-2</v>
      </c>
      <c r="I11" s="138">
        <f>'Interim Financial Statements'!AM11</f>
        <v>-4.145497912939778E-2</v>
      </c>
      <c r="J11" s="138">
        <f>'Interim Financial Statements'!AO11</f>
        <v>-2.4510413815412968E-2</v>
      </c>
      <c r="K11" s="138">
        <f>'Interim Financial Statements'!AQ11</f>
        <v>4.1528493444212167E-2</v>
      </c>
      <c r="L11" s="138">
        <f t="shared" ref="L11:Q11" si="3">+L10/K10-1</f>
        <v>1.4401175606171934E-2</v>
      </c>
      <c r="M11" s="138">
        <f t="shared" si="3"/>
        <v>5.7607803370515187E-2</v>
      </c>
      <c r="N11" s="138">
        <f t="shared" si="3"/>
        <v>-0.13014793169573546</v>
      </c>
      <c r="O11" s="138">
        <f t="shared" si="3"/>
        <v>0.19943311550271625</v>
      </c>
      <c r="P11" s="138">
        <f t="shared" si="3"/>
        <v>0.32471226642160089</v>
      </c>
      <c r="Q11" s="140">
        <f t="shared" si="3"/>
        <v>9.4545935053351515E-2</v>
      </c>
      <c r="S11" s="486"/>
    </row>
    <row r="12" spans="1:19" ht="14">
      <c r="A12" s="296" t="s">
        <v>28</v>
      </c>
      <c r="B12" s="196">
        <v>-4161.2</v>
      </c>
      <c r="C12" s="172">
        <v>-3905.5</v>
      </c>
      <c r="D12" s="172">
        <v>-4048.6</v>
      </c>
      <c r="E12" s="196">
        <f>'Interim Financial Statements'!N12</f>
        <v>-4253.3168890099996</v>
      </c>
      <c r="F12" s="362">
        <f>'Interim Financial Statements'!Y12</f>
        <v>-4517.7000000000007</v>
      </c>
      <c r="G12" s="172">
        <f>'Interim Financial Statements'!AE12</f>
        <v>-4433</v>
      </c>
      <c r="H12" s="172">
        <f>'Interim Financial Statements'!AK12</f>
        <v>-4184.1000000000004</v>
      </c>
      <c r="I12" s="172">
        <f>'Interim Financial Statements'!AM12</f>
        <v>-4017.7</v>
      </c>
      <c r="J12" s="172">
        <f>'Interim Financial Statements'!AO12</f>
        <v>-3944.7</v>
      </c>
      <c r="K12" s="172">
        <f>'Interim Financial Statements'!AQ12</f>
        <v>-4079.5</v>
      </c>
      <c r="L12" s="172">
        <v>-4133.8</v>
      </c>
      <c r="M12" s="172">
        <v>-4378</v>
      </c>
      <c r="N12" s="172">
        <v>-3808.7</v>
      </c>
      <c r="O12" s="172">
        <v>-4574</v>
      </c>
      <c r="P12" s="172">
        <v>-6050.6</v>
      </c>
      <c r="Q12" s="362">
        <v>-6622</v>
      </c>
    </row>
    <row r="13" spans="1:19" ht="14">
      <c r="A13" s="366" t="s">
        <v>141</v>
      </c>
      <c r="B13" s="139">
        <v>0.09</v>
      </c>
      <c r="C13" s="138">
        <f>+C12/B12-1</f>
        <v>-6.1448620590214276E-2</v>
      </c>
      <c r="D13" s="138">
        <f>+D12/C12-1</f>
        <v>3.6640635001920385E-2</v>
      </c>
      <c r="E13" s="139">
        <f>+E12/D12-1</f>
        <v>5.0564859213061197E-2</v>
      </c>
      <c r="F13" s="140">
        <f>+F12/E12-1</f>
        <v>6.2159278955473907E-2</v>
      </c>
      <c r="G13" s="138">
        <f>+G12/F12-1</f>
        <v>-1.8748478207937791E-2</v>
      </c>
      <c r="H13" s="138">
        <f>'Interim Financial Statements'!AK13</f>
        <v>5.6147078727723808E-2</v>
      </c>
      <c r="I13" s="138">
        <f>'Interim Financial Statements'!AM13</f>
        <v>-3.9769603976960527E-2</v>
      </c>
      <c r="J13" s="138">
        <f>'Interim Financial Statements'!AO13</f>
        <v>-1.816959952211461E-2</v>
      </c>
      <c r="K13" s="138">
        <f>'Interim Financial Statements'!AQ13</f>
        <v>3.417243389864888E-2</v>
      </c>
      <c r="L13" s="138">
        <f t="shared" ref="L13:Q13" si="4">+L12/K12-1</f>
        <v>1.3310454712587294E-2</v>
      </c>
      <c r="M13" s="138">
        <f t="shared" si="4"/>
        <v>5.9073975518892929E-2</v>
      </c>
      <c r="N13" s="138">
        <f t="shared" si="4"/>
        <v>-0.13003654636820472</v>
      </c>
      <c r="O13" s="138">
        <f t="shared" si="4"/>
        <v>0.20093470212933551</v>
      </c>
      <c r="P13" s="138">
        <f t="shared" si="4"/>
        <v>0.32282466112811559</v>
      </c>
      <c r="Q13" s="140">
        <f t="shared" si="4"/>
        <v>9.4436915347238193E-2</v>
      </c>
      <c r="S13" s="486"/>
    </row>
    <row r="14" spans="1:19" ht="14">
      <c r="A14" s="296" t="s">
        <v>29</v>
      </c>
      <c r="B14" s="196">
        <f t="shared" ref="B14:G14" si="5">+B8+B10</f>
        <v>2811.0999999999995</v>
      </c>
      <c r="C14" s="172">
        <f t="shared" si="5"/>
        <v>2638.1000000000004</v>
      </c>
      <c r="D14" s="172">
        <f t="shared" si="5"/>
        <v>2745.0000000000005</v>
      </c>
      <c r="E14" s="196">
        <f t="shared" si="5"/>
        <v>2569.6000000000004</v>
      </c>
      <c r="F14" s="362">
        <f t="shared" si="5"/>
        <v>2522.4999999999991</v>
      </c>
      <c r="G14" s="172">
        <f t="shared" si="5"/>
        <v>2435.5</v>
      </c>
      <c r="H14" s="172">
        <f>+H8+H10</f>
        <v>2317.6999999999998</v>
      </c>
      <c r="I14" s="172">
        <f>+I8+I10</f>
        <v>2327.4000000000005</v>
      </c>
      <c r="J14" s="172">
        <f>+J8+J10</f>
        <v>2298.829720400001</v>
      </c>
      <c r="K14" s="172">
        <f>+K8+K10</f>
        <v>2439</v>
      </c>
      <c r="L14" s="172">
        <v>2515.3000000000002</v>
      </c>
      <c r="M14" s="172">
        <v>2645.6</v>
      </c>
      <c r="N14" s="172">
        <v>2321.5</v>
      </c>
      <c r="O14" s="172">
        <v>2598.1999999999998</v>
      </c>
      <c r="P14" s="172">
        <v>3144.2</v>
      </c>
      <c r="Q14" s="362">
        <v>3557.4</v>
      </c>
    </row>
    <row r="15" spans="1:19" ht="14">
      <c r="A15" s="366" t="s">
        <v>141</v>
      </c>
      <c r="B15" s="139">
        <v>0.06</v>
      </c>
      <c r="C15" s="138">
        <f t="shared" ref="C15:Q15" si="6">+C14/B14-1</f>
        <v>-6.1541745224289124E-2</v>
      </c>
      <c r="D15" s="138">
        <f t="shared" si="6"/>
        <v>4.0521587506159751E-2</v>
      </c>
      <c r="E15" s="139">
        <f t="shared" si="6"/>
        <v>-6.3897996357012765E-2</v>
      </c>
      <c r="F15" s="140">
        <f t="shared" si="6"/>
        <v>-1.8329701120797459E-2</v>
      </c>
      <c r="G15" s="138">
        <f t="shared" si="6"/>
        <v>-3.4489593657085926E-2</v>
      </c>
      <c r="H15" s="138">
        <f t="shared" si="6"/>
        <v>-4.8367891603366964E-2</v>
      </c>
      <c r="I15" s="138">
        <f t="shared" si="6"/>
        <v>4.1851835871773435E-3</v>
      </c>
      <c r="J15" s="138">
        <f t="shared" si="6"/>
        <v>-1.2275620692618228E-2</v>
      </c>
      <c r="K15" s="138">
        <f t="shared" si="6"/>
        <v>6.0974624764990937E-2</v>
      </c>
      <c r="L15" s="138">
        <f t="shared" si="6"/>
        <v>3.1283312833128463E-2</v>
      </c>
      <c r="M15" s="138">
        <f t="shared" si="6"/>
        <v>5.1802965849004012E-2</v>
      </c>
      <c r="N15" s="138">
        <f t="shared" si="6"/>
        <v>-0.12250529180526148</v>
      </c>
      <c r="O15" s="138">
        <f t="shared" si="6"/>
        <v>0.11919017876373017</v>
      </c>
      <c r="P15" s="138">
        <f t="shared" si="6"/>
        <v>0.21014548533600186</v>
      </c>
      <c r="Q15" s="140">
        <f t="shared" si="6"/>
        <v>0.13141657655365435</v>
      </c>
      <c r="S15" s="486"/>
    </row>
    <row r="16" spans="1:19" ht="14">
      <c r="A16" s="296" t="s">
        <v>88</v>
      </c>
      <c r="B16" s="196">
        <v>2808.9</v>
      </c>
      <c r="C16" s="172">
        <f t="shared" ref="C16:H16" si="7">+C8+C12</f>
        <v>2638.1000000000004</v>
      </c>
      <c r="D16" s="172">
        <f t="shared" si="7"/>
        <v>2745.0000000000005</v>
      </c>
      <c r="E16" s="196">
        <f t="shared" si="7"/>
        <v>2570.9831109900006</v>
      </c>
      <c r="F16" s="362">
        <f t="shared" si="7"/>
        <v>2526.9999999999991</v>
      </c>
      <c r="G16" s="172">
        <f t="shared" si="7"/>
        <v>2441</v>
      </c>
      <c r="H16" s="172">
        <f t="shared" si="7"/>
        <v>2326.0999999999995</v>
      </c>
      <c r="I16" s="172">
        <f>+I8+I12</f>
        <v>2328.4000000000005</v>
      </c>
      <c r="J16" s="172">
        <f>+J8+J12</f>
        <v>2274.329720400001</v>
      </c>
      <c r="K16" s="172">
        <f>+K8+K12</f>
        <v>2442.5</v>
      </c>
      <c r="L16" s="172">
        <v>2523.3000000000002</v>
      </c>
      <c r="M16" s="172">
        <v>2648</v>
      </c>
      <c r="N16" s="172">
        <v>2323.1</v>
      </c>
      <c r="O16" s="172">
        <v>2594.4</v>
      </c>
      <c r="P16" s="172">
        <v>3147.8</v>
      </c>
      <c r="Q16" s="362">
        <v>3562</v>
      </c>
    </row>
    <row r="17" spans="1:20" ht="14">
      <c r="A17" s="366" t="s">
        <v>141</v>
      </c>
      <c r="B17" s="139">
        <v>0.06</v>
      </c>
      <c r="C17" s="138">
        <f t="shared" ref="C17:Q17" si="8">+C16/B16-1</f>
        <v>-6.0806721492399074E-2</v>
      </c>
      <c r="D17" s="138">
        <f t="shared" si="8"/>
        <v>4.0521587506159751E-2</v>
      </c>
      <c r="E17" s="139">
        <f t="shared" si="8"/>
        <v>-6.3394130786885161E-2</v>
      </c>
      <c r="F17" s="140">
        <f t="shared" si="8"/>
        <v>-1.7107506775128178E-2</v>
      </c>
      <c r="G17" s="138">
        <f t="shared" si="8"/>
        <v>-3.4032449544914578E-2</v>
      </c>
      <c r="H17" s="138">
        <f t="shared" si="8"/>
        <v>-4.7070872593199753E-2</v>
      </c>
      <c r="I17" s="138">
        <f t="shared" si="8"/>
        <v>9.8877950217146626E-4</v>
      </c>
      <c r="J17" s="138">
        <f t="shared" si="8"/>
        <v>-2.3222075073011328E-2</v>
      </c>
      <c r="K17" s="138">
        <f t="shared" si="8"/>
        <v>7.3942787666874343E-2</v>
      </c>
      <c r="L17" s="138">
        <f t="shared" si="8"/>
        <v>3.3080859774820892E-2</v>
      </c>
      <c r="M17" s="138">
        <f t="shared" si="8"/>
        <v>4.9419411088653664E-2</v>
      </c>
      <c r="N17" s="138">
        <f t="shared" si="8"/>
        <v>-0.1226963746223565</v>
      </c>
      <c r="O17" s="138">
        <f t="shared" si="8"/>
        <v>0.11678360810985322</v>
      </c>
      <c r="P17" s="138">
        <f t="shared" si="8"/>
        <v>0.21330558125192733</v>
      </c>
      <c r="Q17" s="140">
        <f t="shared" si="8"/>
        <v>0.13158396340301159</v>
      </c>
      <c r="S17" s="486"/>
    </row>
    <row r="18" spans="1:20" ht="14">
      <c r="A18" s="296" t="s">
        <v>63</v>
      </c>
      <c r="B18" s="197">
        <f t="shared" ref="B18:G18" si="9">B16/B8</f>
        <v>0.4023808500580171</v>
      </c>
      <c r="C18" s="191">
        <f t="shared" si="9"/>
        <v>0.40315728345253382</v>
      </c>
      <c r="D18" s="191">
        <f t="shared" si="9"/>
        <v>0.40405675930287333</v>
      </c>
      <c r="E18" s="197">
        <f t="shared" si="9"/>
        <v>0.37673946206790448</v>
      </c>
      <c r="F18" s="363">
        <f t="shared" si="9"/>
        <v>0.35870938435987326</v>
      </c>
      <c r="G18" s="191">
        <f t="shared" si="9"/>
        <v>0.35510619726505671</v>
      </c>
      <c r="H18" s="191">
        <f t="shared" ref="H18:M18" si="10">H16/H8</f>
        <v>0.35730085097232028</v>
      </c>
      <c r="I18" s="191">
        <f t="shared" si="10"/>
        <v>0.36690250705157507</v>
      </c>
      <c r="J18" s="191">
        <f t="shared" si="10"/>
        <v>0.3657049126071259</v>
      </c>
      <c r="K18" s="191">
        <f t="shared" si="10"/>
        <v>0.37450168659920269</v>
      </c>
      <c r="L18" s="191">
        <f t="shared" si="10"/>
        <v>0.37903892085142182</v>
      </c>
      <c r="M18" s="191">
        <f t="shared" si="10"/>
        <v>0.37688585254768003</v>
      </c>
      <c r="N18" s="191">
        <f>N16/N8</f>
        <v>0.37886101960272672</v>
      </c>
      <c r="O18" s="191">
        <f>O16/O8</f>
        <v>0.36192176775849566</v>
      </c>
      <c r="P18" s="191">
        <f>P16/P8</f>
        <v>0.34221168898938947</v>
      </c>
      <c r="Q18" s="363">
        <f>Q16/Q8</f>
        <v>0.34976433621366848</v>
      </c>
      <c r="S18" s="486"/>
    </row>
    <row r="19" spans="1:20" ht="14">
      <c r="A19" s="296" t="s">
        <v>89</v>
      </c>
      <c r="B19" s="196">
        <v>-2356.5</v>
      </c>
      <c r="C19" s="172">
        <v>-1999.3</v>
      </c>
      <c r="D19" s="172">
        <v>-2095.1</v>
      </c>
      <c r="E19" s="196">
        <f>'Interim Financial Statements'!N19</f>
        <v>-2119.2999999999997</v>
      </c>
      <c r="F19" s="362">
        <f>'Interim Financial Statements'!Y19</f>
        <v>-2184.8000000000002</v>
      </c>
      <c r="G19" s="172">
        <f>'Interim Financial Statements'!AE19</f>
        <v>-2061.8000000000002</v>
      </c>
      <c r="H19" s="172">
        <f>'Interim Financial Statements'!AK19</f>
        <v>-1956.6000000000001</v>
      </c>
      <c r="I19" s="172">
        <f>'Interim Financial Statements'!AM19</f>
        <v>-1909.2</v>
      </c>
      <c r="J19" s="172">
        <f>'Interim Financial Statements'!AO19</f>
        <v>-1792.5</v>
      </c>
      <c r="K19" s="172">
        <f>'Interim Financial Statements'!AQ19</f>
        <v>-1849.2</v>
      </c>
      <c r="L19" s="172">
        <v>-1875.9</v>
      </c>
      <c r="M19" s="172">
        <v>-1930.3</v>
      </c>
      <c r="N19" s="172">
        <v>-1682.2</v>
      </c>
      <c r="O19" s="172">
        <v>-1833.3</v>
      </c>
      <c r="P19" s="170">
        <v>-2482</v>
      </c>
      <c r="Q19" s="362">
        <v>-2613.5</v>
      </c>
    </row>
    <row r="20" spans="1:20" ht="14">
      <c r="A20" s="366" t="s">
        <v>141</v>
      </c>
      <c r="B20" s="139">
        <v>0.21</v>
      </c>
      <c r="C20" s="138">
        <f>+C19/B19-1</f>
        <v>-0.15158073413961382</v>
      </c>
      <c r="D20" s="138">
        <f>+D19/C19-1</f>
        <v>4.7916770869804504E-2</v>
      </c>
      <c r="E20" s="139">
        <f>+E19/D19-1</f>
        <v>1.1550761300176626E-2</v>
      </c>
      <c r="F20" s="140">
        <f>+F19/E19-1</f>
        <v>3.0906431368848519E-2</v>
      </c>
      <c r="G20" s="138">
        <f>+G19/F19-1</f>
        <v>-5.6298059318930838E-2</v>
      </c>
      <c r="H20" s="138">
        <f>'Interim Financial Statements'!AK20</f>
        <v>5.1023377631196062E-2</v>
      </c>
      <c r="I20" s="138">
        <f>'Interim Financial Statements'!AM20</f>
        <v>-2.4225697638761159E-2</v>
      </c>
      <c r="J20" s="138">
        <f>'Interim Financial Statements'!AO20</f>
        <v>-6.1125078566939051E-2</v>
      </c>
      <c r="K20" s="138">
        <f>'Interim Financial Statements'!AQ20</f>
        <v>3.1631799163180041E-2</v>
      </c>
      <c r="L20" s="138">
        <f t="shared" ref="L20:Q22" si="11">+L19/K19-1</f>
        <v>1.443867618429584E-2</v>
      </c>
      <c r="M20" s="138">
        <f t="shared" si="11"/>
        <v>2.8999413614798186E-2</v>
      </c>
      <c r="N20" s="138">
        <f t="shared" si="11"/>
        <v>-0.12852924415893896</v>
      </c>
      <c r="O20" s="138">
        <f t="shared" si="11"/>
        <v>8.982285102841514E-2</v>
      </c>
      <c r="P20" s="138">
        <f t="shared" si="11"/>
        <v>0.35384279714176614</v>
      </c>
      <c r="Q20" s="140">
        <f t="shared" si="11"/>
        <v>5.2981466559226531E-2</v>
      </c>
      <c r="S20" s="486"/>
      <c r="T20" s="472"/>
    </row>
    <row r="21" spans="1:20" ht="14">
      <c r="A21" s="296" t="s">
        <v>90</v>
      </c>
      <c r="B21" s="196">
        <v>-2148.6</v>
      </c>
      <c r="C21" s="172">
        <v>-1987.2</v>
      </c>
      <c r="D21" s="172">
        <v>-2058.4</v>
      </c>
      <c r="E21" s="196">
        <f>'Interim Financial Statements'!N21</f>
        <v>-2048.2294753899996</v>
      </c>
      <c r="F21" s="362">
        <f>'Interim Financial Statements'!Y21</f>
        <v>-2073.9030590000007</v>
      </c>
      <c r="G21" s="172">
        <f>'Interim Financial Statements'!AE21</f>
        <v>-1987.0909964800001</v>
      </c>
      <c r="H21" s="172">
        <f>'Interim Financial Statements'!AK21</f>
        <v>-1901.4</v>
      </c>
      <c r="I21" s="172">
        <f>'Interim Financial Statements'!AM21</f>
        <v>-1855.2</v>
      </c>
      <c r="J21" s="172">
        <f>'Interim Financial Statements'!AO21</f>
        <v>-1756.8</v>
      </c>
      <c r="K21" s="172">
        <f>'Interim Financial Statements'!AQ21</f>
        <v>-1821.5</v>
      </c>
      <c r="L21" s="172">
        <v>-1842.6</v>
      </c>
      <c r="M21" s="172">
        <v>-1889.3</v>
      </c>
      <c r="N21" s="172">
        <v>-1672.4</v>
      </c>
      <c r="O21" s="172">
        <v>-1797.8</v>
      </c>
      <c r="P21" s="172">
        <v>-2259.6999999999998</v>
      </c>
      <c r="Q21" s="362">
        <v>-2487.9</v>
      </c>
    </row>
    <row r="22" spans="1:20" ht="14">
      <c r="A22" s="366" t="s">
        <v>141</v>
      </c>
      <c r="B22" s="139">
        <v>0.1</v>
      </c>
      <c r="C22" s="138">
        <f>+C21/B21-1</f>
        <v>-7.5118681932421105E-2</v>
      </c>
      <c r="D22" s="138">
        <f>+D21/C21-1</f>
        <v>3.582930756843794E-2</v>
      </c>
      <c r="E22" s="139">
        <f>+E21/D21-1</f>
        <v>-4.940985527594477E-3</v>
      </c>
      <c r="F22" s="140">
        <f>+F21/E21-1</f>
        <v>1.2534525021964393E-2</v>
      </c>
      <c r="G22" s="138">
        <f>+G21/F21-1</f>
        <v>-4.1859267309176884E-2</v>
      </c>
      <c r="H22" s="138">
        <f>'Interim Financial Statements'!AK22</f>
        <v>4.3123841148591524E-2</v>
      </c>
      <c r="I22" s="138">
        <f>'Interim Financial Statements'!AM22</f>
        <v>-2.4297885768381215E-2</v>
      </c>
      <c r="J22" s="138">
        <f>'Interim Financial Statements'!AO22</f>
        <v>-5.3040103492884905E-2</v>
      </c>
      <c r="K22" s="138">
        <f>'Interim Financial Statements'!AQ22</f>
        <v>3.6828324225865128E-2</v>
      </c>
      <c r="L22" s="138">
        <f t="shared" si="11"/>
        <v>1.1583859456491874E-2</v>
      </c>
      <c r="M22" s="138">
        <f t="shared" si="11"/>
        <v>2.534462173016383E-2</v>
      </c>
      <c r="N22" s="138">
        <f t="shared" si="11"/>
        <v>-0.11480442491928222</v>
      </c>
      <c r="O22" s="138">
        <f t="shared" si="11"/>
        <v>7.4982061707725256E-2</v>
      </c>
      <c r="P22" s="138">
        <f t="shared" si="11"/>
        <v>0.25692513071531864</v>
      </c>
      <c r="Q22" s="140">
        <f t="shared" si="11"/>
        <v>0.10098685666238905</v>
      </c>
      <c r="S22" s="486"/>
    </row>
    <row r="23" spans="1:20" ht="14">
      <c r="A23" s="296" t="s">
        <v>109</v>
      </c>
      <c r="B23" s="197">
        <f t="shared" ref="B23:G23" si="12">B21/B$8</f>
        <v>-0.30779148222957581</v>
      </c>
      <c r="C23" s="191">
        <f t="shared" si="12"/>
        <v>-0.30368604437924079</v>
      </c>
      <c r="D23" s="191">
        <f t="shared" si="12"/>
        <v>-0.30299105040037683</v>
      </c>
      <c r="E23" s="197">
        <f t="shared" si="12"/>
        <v>-0.3001376661914042</v>
      </c>
      <c r="F23" s="363">
        <f t="shared" si="12"/>
        <v>-0.2943919626101893</v>
      </c>
      <c r="G23" s="191">
        <f t="shared" si="12"/>
        <v>-0.2890734647192319</v>
      </c>
      <c r="H23" s="191">
        <f t="shared" ref="H23:M23" si="13">H21/H$8</f>
        <v>-0.29206475991521003</v>
      </c>
      <c r="I23" s="191">
        <f t="shared" si="13"/>
        <v>-0.29233702588991661</v>
      </c>
      <c r="J23" s="191">
        <f t="shared" si="13"/>
        <v>-0.28248779616493047</v>
      </c>
      <c r="K23" s="191">
        <f t="shared" si="13"/>
        <v>-0.27928549524685681</v>
      </c>
      <c r="L23" s="191">
        <f t="shared" si="13"/>
        <v>-0.27678718961710053</v>
      </c>
      <c r="M23" s="191">
        <f t="shared" si="13"/>
        <v>-0.26890122402504979</v>
      </c>
      <c r="N23" s="191">
        <f t="shared" ref="N23" si="14">N21/N$8</f>
        <v>-0.27274209856812032</v>
      </c>
      <c r="O23" s="191">
        <f t="shared" ref="O23:Q23" si="15">O21/O$8</f>
        <v>-0.25079515652028345</v>
      </c>
      <c r="P23" s="191">
        <f t="shared" si="15"/>
        <v>-0.24566228909375543</v>
      </c>
      <c r="Q23" s="363">
        <f t="shared" si="15"/>
        <v>-0.24429497250589161</v>
      </c>
      <c r="S23" s="486"/>
    </row>
    <row r="24" spans="1:20" ht="14">
      <c r="A24" s="296" t="s">
        <v>31</v>
      </c>
      <c r="B24" s="196">
        <v>1039</v>
      </c>
      <c r="C24" s="172">
        <v>1019.3</v>
      </c>
      <c r="D24" s="172">
        <v>1051.5</v>
      </c>
      <c r="E24" s="196">
        <f>'Interim Financial Statements'!N24</f>
        <v>852.2</v>
      </c>
      <c r="F24" s="362">
        <f>'Interim Financial Statements'!Y24</f>
        <v>757.59999999999991</v>
      </c>
      <c r="G24" s="172">
        <f>'Interim Financial Statements'!AE24</f>
        <v>756.1</v>
      </c>
      <c r="H24" s="172">
        <f>'Interim Financial Statements'!AK24</f>
        <v>742.1</v>
      </c>
      <c r="I24" s="172">
        <f>'Interim Financial Statements'!AM24</f>
        <v>766.3</v>
      </c>
      <c r="J24" s="172">
        <f>'Interim Financial Statements'!AO24</f>
        <v>845.9</v>
      </c>
      <c r="K24" s="172">
        <f>'Interim Financial Statements'!AQ24</f>
        <v>927.5</v>
      </c>
      <c r="L24" s="172">
        <v>968.7</v>
      </c>
      <c r="M24" s="172">
        <v>1110.7</v>
      </c>
      <c r="N24" s="172">
        <v>1059.2</v>
      </c>
      <c r="O24" s="170">
        <v>1151.5</v>
      </c>
      <c r="P24" s="170">
        <v>1343.5999999999997</v>
      </c>
      <c r="Q24" s="213">
        <v>1487.8</v>
      </c>
    </row>
    <row r="25" spans="1:20" ht="15" customHeight="1">
      <c r="A25" s="366" t="s">
        <v>141</v>
      </c>
      <c r="B25" s="139">
        <v>0.14899999999999999</v>
      </c>
      <c r="C25" s="138">
        <f>+C24/B24-1</f>
        <v>-1.8960538979788333E-2</v>
      </c>
      <c r="D25" s="138">
        <f>+D24/C24-1</f>
        <v>3.159030707348176E-2</v>
      </c>
      <c r="E25" s="139">
        <f>+E24/D24-1</f>
        <v>-0.18953875416072274</v>
      </c>
      <c r="F25" s="140">
        <f>+F24/E24-1</f>
        <v>-0.11100680591410483</v>
      </c>
      <c r="G25" s="138">
        <f>+G24/F24-1</f>
        <v>-1.9799366420273357E-3</v>
      </c>
      <c r="H25" s="138">
        <f>'Interim Financial Statements'!AK25</f>
        <v>-1.8516069303002248E-2</v>
      </c>
      <c r="I25" s="138">
        <f t="shared" ref="I25:Q25" si="16">+I24/H24-1</f>
        <v>3.2610160355747153E-2</v>
      </c>
      <c r="J25" s="138">
        <f t="shared" si="16"/>
        <v>0.10387576667101661</v>
      </c>
      <c r="K25" s="138">
        <f t="shared" si="16"/>
        <v>9.6465303227331933E-2</v>
      </c>
      <c r="L25" s="138">
        <f t="shared" si="16"/>
        <v>4.442048517520214E-2</v>
      </c>
      <c r="M25" s="138">
        <f t="shared" si="16"/>
        <v>0.14658821100443897</v>
      </c>
      <c r="N25" s="138">
        <f t="shared" si="16"/>
        <v>-4.6367155847663599E-2</v>
      </c>
      <c r="O25" s="138">
        <f t="shared" si="16"/>
        <v>8.7141238670694898E-2</v>
      </c>
      <c r="P25" s="138">
        <f t="shared" si="16"/>
        <v>0.16682587928788517</v>
      </c>
      <c r="Q25" s="140">
        <f t="shared" si="16"/>
        <v>0.10732360821673148</v>
      </c>
      <c r="S25" s="486"/>
    </row>
    <row r="26" spans="1:20" ht="14">
      <c r="A26" s="296" t="s">
        <v>32</v>
      </c>
      <c r="B26" s="196">
        <v>1039.4000000000001</v>
      </c>
      <c r="C26" s="172">
        <v>1021.2</v>
      </c>
      <c r="D26" s="172">
        <v>1088.5</v>
      </c>
      <c r="E26" s="196">
        <f>'Interim Financial Statements'!N26</f>
        <v>905.35363560000008</v>
      </c>
      <c r="F26" s="362">
        <f>'Interim Financial Statements'!Y26</f>
        <v>838.8</v>
      </c>
      <c r="G26" s="172">
        <f>'Interim Financial Statements'!AE26</f>
        <v>822.60257789000002</v>
      </c>
      <c r="H26" s="172">
        <f>'Interim Financial Statements'!AK26</f>
        <v>784.7</v>
      </c>
      <c r="I26" s="172">
        <f>'Interim Financial Statements'!AM26</f>
        <v>803.6</v>
      </c>
      <c r="J26" s="172">
        <f>'Interim Financial Statements'!AO26</f>
        <v>839.3</v>
      </c>
      <c r="K26" s="172">
        <f>'Interim Financial Statements'!AQ26</f>
        <v>949.3</v>
      </c>
      <c r="L26" s="172">
        <v>1000.3</v>
      </c>
      <c r="M26" s="172">
        <v>1152.9000000000001</v>
      </c>
      <c r="N26" s="172">
        <v>1070.8</v>
      </c>
      <c r="O26" s="172">
        <v>1183</v>
      </c>
      <c r="P26" s="172">
        <v>1371.5</v>
      </c>
      <c r="Q26" s="362">
        <v>1506.1</v>
      </c>
    </row>
    <row r="27" spans="1:20" ht="14">
      <c r="A27" s="366" t="s">
        <v>141</v>
      </c>
      <c r="B27" s="139">
        <v>0.14899999999999999</v>
      </c>
      <c r="C27" s="138">
        <f>+C26/B26-1</f>
        <v>-1.7510101981912718E-2</v>
      </c>
      <c r="D27" s="138">
        <f>+D26/C26-1</f>
        <v>6.5902859381120171E-2</v>
      </c>
      <c r="E27" s="139">
        <f>+E26/D26-1</f>
        <v>-0.16825573210840594</v>
      </c>
      <c r="F27" s="140">
        <f>+F26/E26-1</f>
        <v>-7.3511203780491141E-2</v>
      </c>
      <c r="G27" s="138">
        <f>+G26/F26-1</f>
        <v>-1.9310231413924628E-2</v>
      </c>
      <c r="H27" s="138">
        <f>'Interim Financial Statements'!AK27</f>
        <v>-4.6076415159336373E-2</v>
      </c>
      <c r="I27" s="138">
        <f t="shared" ref="I27:Q27" si="17">+I26/H26-1</f>
        <v>2.408563782337203E-2</v>
      </c>
      <c r="J27" s="138">
        <f t="shared" si="17"/>
        <v>4.442508710801385E-2</v>
      </c>
      <c r="K27" s="138">
        <f t="shared" si="17"/>
        <v>0.13106159895150715</v>
      </c>
      <c r="L27" s="138">
        <f t="shared" si="17"/>
        <v>5.3723796481617958E-2</v>
      </c>
      <c r="M27" s="138">
        <f t="shared" si="17"/>
        <v>0.15255423372988108</v>
      </c>
      <c r="N27" s="138">
        <f t="shared" si="17"/>
        <v>-7.1211726949432008E-2</v>
      </c>
      <c r="O27" s="138">
        <f t="shared" si="17"/>
        <v>0.10478147179678743</v>
      </c>
      <c r="P27" s="138">
        <f t="shared" si="17"/>
        <v>0.15934065934065944</v>
      </c>
      <c r="Q27" s="140">
        <f t="shared" si="17"/>
        <v>9.8140721837404188E-2</v>
      </c>
      <c r="S27" s="486"/>
    </row>
    <row r="28" spans="1:20" ht="14">
      <c r="A28" s="296" t="s">
        <v>170</v>
      </c>
      <c r="B28" s="406"/>
      <c r="C28" s="170"/>
      <c r="D28" s="170"/>
      <c r="E28" s="406"/>
      <c r="F28" s="213"/>
      <c r="G28" s="170"/>
      <c r="H28" s="170"/>
      <c r="I28" s="170"/>
      <c r="J28" s="170"/>
      <c r="K28" s="170"/>
      <c r="L28" s="170"/>
      <c r="M28" s="170"/>
      <c r="N28" s="170">
        <v>21.4</v>
      </c>
      <c r="O28" s="170">
        <v>34.4</v>
      </c>
      <c r="P28" s="170">
        <v>41.6</v>
      </c>
      <c r="Q28" s="213">
        <v>9.6999999999999993</v>
      </c>
    </row>
    <row r="29" spans="1:20" ht="14">
      <c r="A29" s="366" t="s">
        <v>141</v>
      </c>
      <c r="B29" s="139"/>
      <c r="C29" s="138"/>
      <c r="D29" s="138"/>
      <c r="E29" s="139"/>
      <c r="F29" s="140"/>
      <c r="G29" s="138"/>
      <c r="H29" s="138"/>
      <c r="I29" s="138"/>
      <c r="J29" s="138"/>
      <c r="K29" s="138"/>
      <c r="L29" s="138"/>
      <c r="M29" s="138"/>
      <c r="N29" s="138" t="s">
        <v>168</v>
      </c>
      <c r="O29" s="138">
        <f>+O28/N28-1</f>
        <v>0.60747663551401865</v>
      </c>
      <c r="P29" s="138">
        <f>+P28/O28-1</f>
        <v>0.2093023255813955</v>
      </c>
      <c r="Q29" s="140">
        <f>+Q28/P28-1</f>
        <v>-0.76682692307692313</v>
      </c>
      <c r="S29" s="486"/>
    </row>
    <row r="30" spans="1:20" ht="14">
      <c r="A30" s="296" t="s">
        <v>33</v>
      </c>
      <c r="B30" s="196">
        <v>454.6</v>
      </c>
      <c r="C30" s="172">
        <v>638.79999999999995</v>
      </c>
      <c r="D30" s="172">
        <v>649.9</v>
      </c>
      <c r="E30" s="196">
        <f>+E14+E19</f>
        <v>450.30000000000064</v>
      </c>
      <c r="F30" s="362">
        <f>+F14+F19</f>
        <v>337.69999999999891</v>
      </c>
      <c r="G30" s="172">
        <f>+G14+G19</f>
        <v>373.69999999999982</v>
      </c>
      <c r="H30" s="172">
        <f>'Interim Financial Statements'!AK30</f>
        <v>361.09999999999968</v>
      </c>
      <c r="I30" s="172">
        <f>'Interim Financial Statements'!AM30</f>
        <v>418.2</v>
      </c>
      <c r="J30" s="172">
        <f>'Interim Financial Statements'!AO30</f>
        <v>506.3</v>
      </c>
      <c r="K30" s="172">
        <f>'Interim Financial Statements'!AQ30</f>
        <v>589.79999999999995</v>
      </c>
      <c r="L30" s="172">
        <v>639.4</v>
      </c>
      <c r="M30" s="172">
        <v>715.3</v>
      </c>
      <c r="N30" s="172">
        <v>660.69999999999993</v>
      </c>
      <c r="O30" s="172">
        <v>799.3</v>
      </c>
      <c r="P30" s="172">
        <v>703.8</v>
      </c>
      <c r="Q30" s="362">
        <v>953.6</v>
      </c>
    </row>
    <row r="31" spans="1:20" ht="14">
      <c r="A31" s="366" t="s">
        <v>141</v>
      </c>
      <c r="B31" s="139">
        <v>-0.35</v>
      </c>
      <c r="C31" s="138">
        <f>+C30/B30-1</f>
        <v>0.40519137703475572</v>
      </c>
      <c r="D31" s="138">
        <f>+D30/C30-1</f>
        <v>1.7376330619912395E-2</v>
      </c>
      <c r="E31" s="139">
        <f>+E30/D30-1</f>
        <v>-0.30712417294968353</v>
      </c>
      <c r="F31" s="140">
        <f>+F30/E30-1</f>
        <v>-0.25005551854319696</v>
      </c>
      <c r="G31" s="138">
        <f>+G30/F30-1</f>
        <v>0.10660349422564708</v>
      </c>
      <c r="H31" s="138">
        <f>'Interim Financial Statements'!AK31</f>
        <v>-3.37168852020341E-2</v>
      </c>
      <c r="I31" s="138">
        <f t="shared" ref="I31:Q31" si="18">+I30/H30-1</f>
        <v>0.15812794239822869</v>
      </c>
      <c r="J31" s="138">
        <f t="shared" si="18"/>
        <v>0.21066475370636062</v>
      </c>
      <c r="K31" s="138">
        <f t="shared" si="18"/>
        <v>0.16492198301402317</v>
      </c>
      <c r="L31" s="138">
        <f t="shared" si="18"/>
        <v>8.409630383180744E-2</v>
      </c>
      <c r="M31" s="138">
        <f t="shared" si="18"/>
        <v>0.11870503597122295</v>
      </c>
      <c r="N31" s="138">
        <f t="shared" si="18"/>
        <v>-7.6331609115056653E-2</v>
      </c>
      <c r="O31" s="138">
        <f t="shared" si="18"/>
        <v>0.20977750870289102</v>
      </c>
      <c r="P31" s="138">
        <f t="shared" si="18"/>
        <v>-0.11947954460152632</v>
      </c>
      <c r="Q31" s="140">
        <f t="shared" si="18"/>
        <v>0.35493037794828086</v>
      </c>
      <c r="S31" s="486"/>
    </row>
    <row r="32" spans="1:20" ht="14">
      <c r="A32" s="296" t="s">
        <v>34</v>
      </c>
      <c r="B32" s="196">
        <v>660.3</v>
      </c>
      <c r="C32" s="172">
        <v>650.9</v>
      </c>
      <c r="D32" s="172">
        <v>686.6</v>
      </c>
      <c r="E32" s="196">
        <f>+E16+E21</f>
        <v>522.75363560000096</v>
      </c>
      <c r="F32" s="362">
        <f>+F16+F21</f>
        <v>453.09694099999842</v>
      </c>
      <c r="G32" s="172">
        <f>+G16+G21</f>
        <v>453.90900351999994</v>
      </c>
      <c r="H32" s="172">
        <f>'Interim Financial Statements'!AK32</f>
        <v>424.69999999999936</v>
      </c>
      <c r="I32" s="172">
        <f>'Interim Financial Statements'!AM32</f>
        <v>473.2</v>
      </c>
      <c r="J32" s="172">
        <f>'Interim Financial Statements'!AO32</f>
        <v>517.5</v>
      </c>
      <c r="K32" s="172">
        <f>'Interim Financial Statements'!AQ32</f>
        <v>621</v>
      </c>
      <c r="L32" s="172">
        <v>680.7</v>
      </c>
      <c r="M32" s="172">
        <v>758.7</v>
      </c>
      <c r="N32" s="172">
        <v>672.3</v>
      </c>
      <c r="O32" s="172">
        <v>831</v>
      </c>
      <c r="P32" s="172">
        <v>929.7</v>
      </c>
      <c r="Q32" s="362">
        <v>1083.8</v>
      </c>
    </row>
    <row r="33" spans="1:19" ht="14">
      <c r="A33" s="366" t="s">
        <v>141</v>
      </c>
      <c r="B33" s="139">
        <v>-0.06</v>
      </c>
      <c r="C33" s="138">
        <f>+C32/B32-1</f>
        <v>-1.4235953354535757E-2</v>
      </c>
      <c r="D33" s="138">
        <f>+D32/C32-1</f>
        <v>5.4847134736518699E-2</v>
      </c>
      <c r="E33" s="139">
        <f>+E32/D32-1</f>
        <v>-0.23863437867754012</v>
      </c>
      <c r="F33" s="140">
        <f>+F32/E32-1</f>
        <v>-0.13324956510355523</v>
      </c>
      <c r="G33" s="138">
        <f>+G32/F32-1</f>
        <v>1.792248957164233E-3</v>
      </c>
      <c r="H33" s="138">
        <f>'Interim Financial Statements'!AK33</f>
        <v>-6.4349909989643073E-2</v>
      </c>
      <c r="I33" s="138">
        <f t="shared" ref="I33:Q33" si="19">+I32/H32-1</f>
        <v>0.11419825759359714</v>
      </c>
      <c r="J33" s="138">
        <f t="shared" si="19"/>
        <v>9.361792054099749E-2</v>
      </c>
      <c r="K33" s="138">
        <f t="shared" si="19"/>
        <v>0.19999999999999996</v>
      </c>
      <c r="L33" s="138">
        <f t="shared" si="19"/>
        <v>9.6135265700483252E-2</v>
      </c>
      <c r="M33" s="138">
        <f t="shared" si="19"/>
        <v>0.11458792419568087</v>
      </c>
      <c r="N33" s="138">
        <f t="shared" si="19"/>
        <v>-0.11387900355871894</v>
      </c>
      <c r="O33" s="138">
        <f t="shared" si="19"/>
        <v>0.23605533244087473</v>
      </c>
      <c r="P33" s="138">
        <f t="shared" si="19"/>
        <v>0.11877256317689544</v>
      </c>
      <c r="Q33" s="140">
        <f t="shared" si="19"/>
        <v>0.1657523932451328</v>
      </c>
      <c r="S33" s="486"/>
    </row>
    <row r="34" spans="1:19" ht="14">
      <c r="A34" s="296" t="s">
        <v>64</v>
      </c>
      <c r="B34" s="197">
        <f t="shared" ref="B34:G34" si="20">B32/B8</f>
        <v>9.4589367828441268E-2</v>
      </c>
      <c r="C34" s="191">
        <f t="shared" si="20"/>
        <v>9.9471239073292986E-2</v>
      </c>
      <c r="D34" s="191">
        <f t="shared" si="20"/>
        <v>0.10106570890249647</v>
      </c>
      <c r="E34" s="197">
        <f t="shared" si="20"/>
        <v>7.6601795876500289E-2</v>
      </c>
      <c r="F34" s="363">
        <f t="shared" si="20"/>
        <v>6.431742174968394E-2</v>
      </c>
      <c r="G34" s="191">
        <f t="shared" si="20"/>
        <v>6.603273254582484E-2</v>
      </c>
      <c r="H34" s="191">
        <f>'Interim Financial Statements'!AK34</f>
        <v>6.5236091057110285E-2</v>
      </c>
      <c r="I34" s="191">
        <f>'Interim Financial Statements'!AM34</f>
        <v>7.4565481161658329E-2</v>
      </c>
      <c r="J34" s="191">
        <f>'Interim Financial Statements'!AO34</f>
        <v>8.3212337497354003E-2</v>
      </c>
      <c r="K34" s="191">
        <f>'Interim Financial Statements'!AQ34</f>
        <v>9.5216191352345908E-2</v>
      </c>
      <c r="L34" s="191">
        <v>0.10199999999999999</v>
      </c>
      <c r="M34" s="191">
        <f>M32/M8</f>
        <v>0.10798462852263024</v>
      </c>
      <c r="N34" s="191">
        <f>N32/N8</f>
        <v>0.1096415408199876</v>
      </c>
      <c r="O34" s="191">
        <f>O32/O8</f>
        <v>0.11592545058869483</v>
      </c>
      <c r="P34" s="191">
        <f>P32/P8</f>
        <v>0.10107192555226997</v>
      </c>
      <c r="Q34" s="363">
        <f>Q32/Q8</f>
        <v>0.10642183817753338</v>
      </c>
      <c r="S34" s="486"/>
    </row>
    <row r="35" spans="1:19" ht="14">
      <c r="A35" s="296" t="s">
        <v>91</v>
      </c>
      <c r="B35" s="196">
        <v>-108.4</v>
      </c>
      <c r="C35" s="172">
        <v>-72.8</v>
      </c>
      <c r="D35" s="172">
        <v>-75.7</v>
      </c>
      <c r="E35" s="196">
        <f>'Interim Financial Statements'!N35</f>
        <v>-95.2</v>
      </c>
      <c r="F35" s="362">
        <f>'Interim Financial Statements'!Y35</f>
        <v>-90.7</v>
      </c>
      <c r="G35" s="172">
        <f>'Interim Financial Statements'!AE35</f>
        <v>-91.5</v>
      </c>
      <c r="H35" s="172">
        <f>'Interim Financial Statements'!AK35</f>
        <v>-72.900000000000006</v>
      </c>
      <c r="I35" s="172">
        <f>'Interim Financial Statements'!AM35</f>
        <v>-68.2</v>
      </c>
      <c r="J35" s="172">
        <f>'Interim Financial Statements'!AO35</f>
        <v>-62.3</v>
      </c>
      <c r="K35" s="172">
        <f>'Interim Financial Statements'!AQ35</f>
        <v>-36.700000000000003</v>
      </c>
      <c r="L35" s="172">
        <v>-41.3</v>
      </c>
      <c r="M35" s="172">
        <v>-67.099999999999994</v>
      </c>
      <c r="N35" s="172">
        <v>-70.099999999999994</v>
      </c>
      <c r="O35" s="172">
        <v>-67.599999999999994</v>
      </c>
      <c r="P35" s="172">
        <v>-82.7</v>
      </c>
      <c r="Q35" s="362">
        <v>-48.3</v>
      </c>
    </row>
    <row r="36" spans="1:19" ht="14">
      <c r="A36" s="366" t="s">
        <v>141</v>
      </c>
      <c r="B36" s="139">
        <v>0.26</v>
      </c>
      <c r="C36" s="138">
        <f>+C35/B35-1</f>
        <v>-0.32841328413284143</v>
      </c>
      <c r="D36" s="138">
        <f>+D35/C35-1</f>
        <v>3.9835164835164916E-2</v>
      </c>
      <c r="E36" s="139">
        <f>+E35/D35-1</f>
        <v>0.25759577278731838</v>
      </c>
      <c r="F36" s="140">
        <f>+F35/E35-1</f>
        <v>-4.7268907563025264E-2</v>
      </c>
      <c r="G36" s="138">
        <f>+G35/F35-1</f>
        <v>8.8202866593163343E-3</v>
      </c>
      <c r="H36" s="138">
        <f>'Interim Financial Statements'!AK36</f>
        <v>0.20327868852459011</v>
      </c>
      <c r="I36" s="138">
        <f>'Interim Financial Statements'!AM36</f>
        <v>-6.4471879286694136E-2</v>
      </c>
      <c r="J36" s="138">
        <f>'Interim Financial Statements'!AO36</f>
        <v>-8.6510263929618803E-2</v>
      </c>
      <c r="K36" s="138">
        <f>'Interim Financial Statements'!AQ36</f>
        <v>-0.41091492776886029</v>
      </c>
      <c r="L36" s="138">
        <f t="shared" ref="L36:Q36" si="21">+L35/K35-1</f>
        <v>0.12534059945504072</v>
      </c>
      <c r="M36" s="138">
        <f t="shared" si="21"/>
        <v>0.62469733656174342</v>
      </c>
      <c r="N36" s="138">
        <f t="shared" si="21"/>
        <v>4.4709388971684083E-2</v>
      </c>
      <c r="O36" s="138">
        <f t="shared" si="21"/>
        <v>-3.5663338088445129E-2</v>
      </c>
      <c r="P36" s="138">
        <f t="shared" si="21"/>
        <v>0.22337278106508895</v>
      </c>
      <c r="Q36" s="140">
        <f t="shared" si="21"/>
        <v>-0.41596130592503033</v>
      </c>
      <c r="S36" s="486"/>
    </row>
    <row r="37" spans="1:19" ht="14">
      <c r="A37" s="450" t="s">
        <v>92</v>
      </c>
      <c r="B37" s="444">
        <v>0.1</v>
      </c>
      <c r="C37" s="445">
        <v>-1.9</v>
      </c>
      <c r="D37" s="445">
        <v>2.5</v>
      </c>
      <c r="E37" s="444">
        <f>'Interim Financial Statements'!N37</f>
        <v>9.3999999999999986</v>
      </c>
      <c r="F37" s="449">
        <f>'Interim Financial Statements'!Y37</f>
        <v>11.6</v>
      </c>
      <c r="G37" s="445">
        <f>'Interim Financial Statements'!AE37</f>
        <v>11.9</v>
      </c>
      <c r="H37" s="445">
        <f>'Interim Financial Statements'!AK37</f>
        <v>63.8</v>
      </c>
      <c r="I37" s="445">
        <f>'Interim Financial Statements'!AM37</f>
        <v>7.1</v>
      </c>
      <c r="J37" s="445">
        <f>'Interim Financial Statements'!AO37</f>
        <v>13.8</v>
      </c>
      <c r="K37" s="445">
        <f>'Interim Financial Statements'!AQ37</f>
        <v>11.8</v>
      </c>
      <c r="L37" s="445">
        <v>12.8</v>
      </c>
      <c r="M37" s="445">
        <v>13</v>
      </c>
      <c r="N37" s="445" t="s">
        <v>102</v>
      </c>
      <c r="O37" s="445" t="s">
        <v>102</v>
      </c>
      <c r="P37" s="445" t="s">
        <v>102</v>
      </c>
      <c r="Q37" s="449"/>
    </row>
    <row r="38" spans="1:19" ht="14">
      <c r="A38" s="451" t="str">
        <f>+A36</f>
        <v>% change y-o-y</v>
      </c>
      <c r="B38" s="452" t="s">
        <v>61</v>
      </c>
      <c r="C38" s="453" t="s">
        <v>61</v>
      </c>
      <c r="D38" s="453" t="s">
        <v>61</v>
      </c>
      <c r="E38" s="452">
        <f>+E37/D37-1</f>
        <v>2.7599999999999993</v>
      </c>
      <c r="F38" s="454">
        <f>+F37/E37-1</f>
        <v>0.23404255319148959</v>
      </c>
      <c r="G38" s="453">
        <f>+G37/F37-1</f>
        <v>2.5862068965517349E-2</v>
      </c>
      <c r="H38" s="453" t="str">
        <f>'Interim Financial Statements'!AK38</f>
        <v>&gt;100%</v>
      </c>
      <c r="I38" s="453">
        <f>'Interim Financial Statements'!AM38</f>
        <v>-0.88871473354231967</v>
      </c>
      <c r="J38" s="453">
        <f>'Interim Financial Statements'!AO38</f>
        <v>0.94366197183098621</v>
      </c>
      <c r="K38" s="453">
        <f>'Interim Financial Statements'!AQ38</f>
        <v>-0.14492753623188404</v>
      </c>
      <c r="L38" s="453">
        <f>+L37/K37-1</f>
        <v>8.4745762711864403E-2</v>
      </c>
      <c r="M38" s="453">
        <f>+M37/L37-1</f>
        <v>1.5625E-2</v>
      </c>
      <c r="N38" s="453" t="s">
        <v>168</v>
      </c>
      <c r="O38" s="453" t="s">
        <v>168</v>
      </c>
      <c r="P38" s="453" t="s">
        <v>168</v>
      </c>
      <c r="Q38" s="454"/>
    </row>
    <row r="39" spans="1:19" ht="14">
      <c r="A39" s="296" t="s">
        <v>167</v>
      </c>
      <c r="B39" s="196"/>
      <c r="C39" s="172"/>
      <c r="D39" s="172"/>
      <c r="E39" s="196"/>
      <c r="F39" s="362"/>
      <c r="G39" s="172"/>
      <c r="H39" s="172"/>
      <c r="I39" s="172"/>
      <c r="J39" s="172"/>
      <c r="K39" s="172"/>
      <c r="L39" s="172"/>
      <c r="M39" s="172"/>
      <c r="N39" s="172">
        <v>3.3</v>
      </c>
      <c r="O39" s="172">
        <v>3.2</v>
      </c>
      <c r="P39" s="172">
        <v>2.5</v>
      </c>
      <c r="Q39" s="362">
        <v>5</v>
      </c>
    </row>
    <row r="40" spans="1:19" ht="14">
      <c r="A40" s="366" t="s">
        <v>141</v>
      </c>
      <c r="B40" s="139"/>
      <c r="C40" s="138"/>
      <c r="D40" s="138"/>
      <c r="E40" s="139"/>
      <c r="F40" s="140"/>
      <c r="G40" s="138"/>
      <c r="H40" s="138"/>
      <c r="I40" s="138"/>
      <c r="J40" s="138"/>
      <c r="K40" s="138"/>
      <c r="L40" s="138"/>
      <c r="M40" s="138"/>
      <c r="N40" s="138" t="s">
        <v>168</v>
      </c>
      <c r="O40" s="138">
        <f>+O39/N39-1</f>
        <v>-3.0303030303030165E-2</v>
      </c>
      <c r="P40" s="138">
        <f>+P39/O39-1</f>
        <v>-0.21875</v>
      </c>
      <c r="Q40" s="140">
        <f>+Q39/P39-1</f>
        <v>1</v>
      </c>
      <c r="S40" s="486"/>
    </row>
    <row r="41" spans="1:19" ht="14">
      <c r="A41" s="296" t="s">
        <v>35</v>
      </c>
      <c r="B41" s="196">
        <v>346.3</v>
      </c>
      <c r="C41" s="172">
        <v>564.1</v>
      </c>
      <c r="D41" s="172">
        <v>576.70000000000005</v>
      </c>
      <c r="E41" s="196">
        <f t="shared" ref="E41:K41" si="22">+E30+E35+E37</f>
        <v>364.50000000000063</v>
      </c>
      <c r="F41" s="362">
        <f t="shared" si="22"/>
        <v>258.59999999999894</v>
      </c>
      <c r="G41" s="172">
        <f t="shared" si="22"/>
        <v>294.0999999999998</v>
      </c>
      <c r="H41" s="172">
        <f t="shared" si="22"/>
        <v>351.99999999999972</v>
      </c>
      <c r="I41" s="172">
        <f t="shared" si="22"/>
        <v>357.1</v>
      </c>
      <c r="J41" s="172">
        <f t="shared" si="22"/>
        <v>457.8</v>
      </c>
      <c r="K41" s="172">
        <f t="shared" si="22"/>
        <v>564.89999999999986</v>
      </c>
      <c r="L41" s="172">
        <v>610.9</v>
      </c>
      <c r="M41" s="172">
        <v>661.2</v>
      </c>
      <c r="N41" s="172">
        <v>593.9</v>
      </c>
      <c r="O41" s="170">
        <v>734.89999999999986</v>
      </c>
      <c r="P41" s="170">
        <v>623.6</v>
      </c>
      <c r="Q41" s="213">
        <v>910.3</v>
      </c>
    </row>
    <row r="42" spans="1:19" ht="14">
      <c r="A42" s="366" t="s">
        <v>141</v>
      </c>
      <c r="B42" s="139">
        <v>-0.44</v>
      </c>
      <c r="C42" s="138">
        <f>+C41/B41-1</f>
        <v>0.62893444989893155</v>
      </c>
      <c r="D42" s="138">
        <f>+D41/C41-1</f>
        <v>2.2336465165750718E-2</v>
      </c>
      <c r="E42" s="139">
        <f>+E41/D41-1</f>
        <v>-0.36795560950233985</v>
      </c>
      <c r="F42" s="140">
        <f>+F41/E41-1</f>
        <v>-0.29053497942387241</v>
      </c>
      <c r="G42" s="138">
        <f>+G41/F41-1</f>
        <v>0.13727764887858074</v>
      </c>
      <c r="H42" s="138">
        <f>'Interim Financial Statements'!AK42</f>
        <v>0.1968718123087384</v>
      </c>
      <c r="I42" s="138">
        <f>'Interim Financial Statements'!AM42</f>
        <v>1.4488636363637248E-2</v>
      </c>
      <c r="J42" s="138">
        <f>'Interim Financial Statements'!AO42</f>
        <v>0.28199383926071131</v>
      </c>
      <c r="K42" s="138">
        <f>'Interim Financial Statements'!AQ42</f>
        <v>0.23394495412844019</v>
      </c>
      <c r="L42" s="138">
        <f t="shared" ref="L42:Q42" si="23">+L41/K41-1</f>
        <v>8.1430341653390137E-2</v>
      </c>
      <c r="M42" s="138">
        <f t="shared" si="23"/>
        <v>8.2337534784743927E-2</v>
      </c>
      <c r="N42" s="138">
        <f t="shared" si="23"/>
        <v>-0.10178463399879012</v>
      </c>
      <c r="O42" s="138">
        <f t="shared" si="23"/>
        <v>0.23741370601111278</v>
      </c>
      <c r="P42" s="138">
        <f t="shared" si="23"/>
        <v>-0.15144917675874248</v>
      </c>
      <c r="Q42" s="140">
        <f t="shared" si="23"/>
        <v>0.4597498396407953</v>
      </c>
      <c r="S42" s="486"/>
    </row>
    <row r="43" spans="1:19" ht="14">
      <c r="A43" s="296" t="s">
        <v>36</v>
      </c>
      <c r="B43" s="196">
        <v>552.1</v>
      </c>
      <c r="C43" s="172">
        <v>550.29999999999995</v>
      </c>
      <c r="D43" s="172">
        <v>613.4</v>
      </c>
      <c r="E43" s="196">
        <f>+E32+E35+E37</f>
        <v>436.95363560000095</v>
      </c>
      <c r="F43" s="362">
        <f>+F32+F35+F37</f>
        <v>373.99694099999846</v>
      </c>
      <c r="G43" s="172">
        <f>'Interim Financial Statements'!AE43</f>
        <v>382.40900351999994</v>
      </c>
      <c r="H43" s="172">
        <f>'Interim Financial Statements'!AK43</f>
        <v>362.19999999999936</v>
      </c>
      <c r="I43" s="172">
        <f>'Interim Financial Statements'!AM43</f>
        <v>413.3</v>
      </c>
      <c r="J43" s="172">
        <f>'Interim Financial Statements'!AO43</f>
        <v>469.1</v>
      </c>
      <c r="K43" s="172">
        <f>'Interim Financial Statements'!AQ43</f>
        <v>596.29999999999995</v>
      </c>
      <c r="L43" s="172">
        <f>'Interim Financial Statements'!AS43</f>
        <v>652.20000000000005</v>
      </c>
      <c r="M43" s="172">
        <v>704.6</v>
      </c>
      <c r="N43" s="172">
        <v>605.5</v>
      </c>
      <c r="O43" s="170">
        <v>766.59999999999991</v>
      </c>
      <c r="P43" s="170">
        <v>849.49999999999977</v>
      </c>
      <c r="Q43" s="213">
        <v>1040.5</v>
      </c>
    </row>
    <row r="44" spans="1:19" s="14" customFormat="1" ht="14">
      <c r="A44" s="366" t="s">
        <v>141</v>
      </c>
      <c r="B44" s="139">
        <v>-0.1</v>
      </c>
      <c r="C44" s="138">
        <f>+C43/B43-1</f>
        <v>-3.2602789349757133E-3</v>
      </c>
      <c r="D44" s="138">
        <f>+D43/C43-1</f>
        <v>0.11466472833000196</v>
      </c>
      <c r="E44" s="139">
        <f>+E43/D43-1</f>
        <v>-0.28765302314965602</v>
      </c>
      <c r="F44" s="140">
        <f>+F43/E43-1</f>
        <v>-0.14408094926033466</v>
      </c>
      <c r="G44" s="138">
        <f>+G43/F43-1</f>
        <v>2.2492329743417638E-2</v>
      </c>
      <c r="H44" s="138">
        <f>'Interim Financial Statements'!AK44</f>
        <v>-5.2846568292013688E-2</v>
      </c>
      <c r="I44" s="138">
        <f>'Interim Financial Statements'!AM44</f>
        <v>0.14108227498619752</v>
      </c>
      <c r="J44" s="138">
        <f>'Interim Financial Statements'!AO44</f>
        <v>0.13501088797483662</v>
      </c>
      <c r="K44" s="138">
        <f>'Interim Financial Statements'!AQ44</f>
        <v>0.27115753570667223</v>
      </c>
      <c r="L44" s="138">
        <f t="shared" ref="L44:Q44" si="24">+L43/K43-1</f>
        <v>9.3744759349321027E-2</v>
      </c>
      <c r="M44" s="138">
        <f t="shared" si="24"/>
        <v>8.0343452928549386E-2</v>
      </c>
      <c r="N44" s="138">
        <f t="shared" si="24"/>
        <v>-0.14064717570252627</v>
      </c>
      <c r="O44" s="138">
        <f t="shared" si="24"/>
        <v>0.2660611065235341</v>
      </c>
      <c r="P44" s="138">
        <f t="shared" si="24"/>
        <v>0.10813983824680395</v>
      </c>
      <c r="Q44" s="140">
        <f t="shared" si="24"/>
        <v>0.22483814008240177</v>
      </c>
      <c r="R44" s="478"/>
      <c r="S44" s="486"/>
    </row>
    <row r="45" spans="1:19" ht="14">
      <c r="A45" s="296" t="s">
        <v>37</v>
      </c>
      <c r="B45" s="196">
        <v>-106.4</v>
      </c>
      <c r="C45" s="172">
        <v>-142.5</v>
      </c>
      <c r="D45" s="172">
        <v>-138</v>
      </c>
      <c r="E45" s="196">
        <f>'Interim Financial Statements'!N45</f>
        <v>-98.8</v>
      </c>
      <c r="F45" s="362">
        <f>'Interim Financial Statements'!Y45</f>
        <v>-65.2</v>
      </c>
      <c r="G45" s="172">
        <f>'Interim Financial Statements'!AE45</f>
        <v>-72.900000000000006</v>
      </c>
      <c r="H45" s="172">
        <f>'Interim Financial Statements'!AK45</f>
        <v>-57.8</v>
      </c>
      <c r="I45" s="172">
        <f>'Interim Financial Statements'!AM45</f>
        <v>-76.400000000000006</v>
      </c>
      <c r="J45" s="172">
        <f>'Interim Financial Statements'!AO45</f>
        <v>-113.8</v>
      </c>
      <c r="K45" s="172">
        <f>'Interim Financial Statements'!AQ45</f>
        <v>-138.4</v>
      </c>
      <c r="L45" s="172">
        <v>-162.80000000000001</v>
      </c>
      <c r="M45" s="172">
        <f>-173.2</f>
        <v>-173.2</v>
      </c>
      <c r="N45" s="172">
        <v>-178.9</v>
      </c>
      <c r="O45" s="172">
        <v>-187.4</v>
      </c>
      <c r="P45" s="172">
        <v>-208</v>
      </c>
      <c r="Q45" s="362">
        <v>-274.60000000000002</v>
      </c>
    </row>
    <row r="46" spans="1:19" ht="14">
      <c r="A46" s="368" t="s">
        <v>141</v>
      </c>
      <c r="B46" s="139">
        <v>-0.17</v>
      </c>
      <c r="C46" s="138">
        <f>+C45/B45-1</f>
        <v>0.33928571428571419</v>
      </c>
      <c r="D46" s="138">
        <f>+D45/C45-1</f>
        <v>-3.157894736842104E-2</v>
      </c>
      <c r="E46" s="139">
        <f>+E45/D45-1</f>
        <v>-0.28405797101449282</v>
      </c>
      <c r="F46" s="140">
        <f>+F45/E45-1</f>
        <v>-0.34008097165991902</v>
      </c>
      <c r="G46" s="138">
        <f>+G45/F45-1</f>
        <v>0.11809815950920255</v>
      </c>
      <c r="H46" s="138">
        <f>'Interim Financial Statements'!AK46</f>
        <v>0.20713305898491094</v>
      </c>
      <c r="I46" s="138">
        <f>'Interim Financial Statements'!AM46</f>
        <v>0.32179930795847767</v>
      </c>
      <c r="J46" s="138">
        <f>'Interim Financial Statements'!AO46</f>
        <v>0.4895287958115182</v>
      </c>
      <c r="K46" s="138">
        <f>'Interim Financial Statements'!AQ46</f>
        <v>0.21616871704745177</v>
      </c>
      <c r="L46" s="138">
        <f>+L45/K45-1</f>
        <v>0.17630057803468202</v>
      </c>
      <c r="M46" s="138">
        <f>+M45/L45-1</f>
        <v>6.3882063882063633E-2</v>
      </c>
      <c r="N46" s="138">
        <f>+N45/M45-1</f>
        <v>3.2909930715935509E-2</v>
      </c>
      <c r="O46" s="138">
        <f>+O45/N45-1</f>
        <v>4.7512576858580235E-2</v>
      </c>
      <c r="P46" s="138">
        <f>+P45/O45-1</f>
        <v>0.10992529348986113</v>
      </c>
      <c r="Q46" s="140">
        <v>0.32</v>
      </c>
    </row>
    <row r="47" spans="1:19" ht="14">
      <c r="A47" s="296" t="s">
        <v>38</v>
      </c>
      <c r="B47" s="196">
        <v>-111.1</v>
      </c>
      <c r="C47" s="172">
        <v>-147.19999999999999</v>
      </c>
      <c r="D47" s="172">
        <v>-146.69999999999999</v>
      </c>
      <c r="E47" s="196">
        <f>'Interim Financial Statements'!N47</f>
        <v>-110.03802483459995</v>
      </c>
      <c r="F47" s="362">
        <f>'Interim Financial Statements'!Y47</f>
        <v>-85.507591631706518</v>
      </c>
      <c r="G47" s="172">
        <f>'Interim Financial Statements'!AE47</f>
        <v>-89.300000000000011</v>
      </c>
      <c r="H47" s="172">
        <f>'Interim Financial Statements'!AK47</f>
        <v>-85.4</v>
      </c>
      <c r="I47" s="172">
        <f>'Interim Financial Statements'!AM47</f>
        <v>-98.6</v>
      </c>
      <c r="J47" s="172">
        <f>'Interim Financial Statements'!AO47</f>
        <v>-116.5</v>
      </c>
      <c r="K47" s="172">
        <f>'Interim Financial Statements'!AQ47</f>
        <v>-146.1</v>
      </c>
      <c r="L47" s="172">
        <v>-171.1</v>
      </c>
      <c r="M47" s="172">
        <f>-181.9</f>
        <v>-181.9</v>
      </c>
      <c r="N47" s="172">
        <v>-174</v>
      </c>
      <c r="O47" s="170">
        <v>-188.2</v>
      </c>
      <c r="P47" s="170">
        <v>-224.35510400000001</v>
      </c>
      <c r="Q47" s="213">
        <v>-277.10000000000002</v>
      </c>
    </row>
    <row r="48" spans="1:19" ht="14">
      <c r="A48" s="366" t="s">
        <v>141</v>
      </c>
      <c r="B48" s="139">
        <v>-0.13</v>
      </c>
      <c r="C48" s="138">
        <f>+C47/B47-1</f>
        <v>0.32493249324932494</v>
      </c>
      <c r="D48" s="138">
        <f>+D47/C47-1</f>
        <v>-3.3967391304348116E-3</v>
      </c>
      <c r="E48" s="139">
        <f>+E47/D47-1</f>
        <v>-0.24991121448807119</v>
      </c>
      <c r="F48" s="140">
        <f>+F47/E47-1</f>
        <v>-0.22292687677523793</v>
      </c>
      <c r="G48" s="138">
        <f>+G47/F47-1</f>
        <v>4.4351715396545588E-2</v>
      </c>
      <c r="H48" s="138">
        <f>'Interim Financial Statements'!AK48</f>
        <v>4.3673012318029177E-2</v>
      </c>
      <c r="I48" s="138">
        <f>'Interim Financial Statements'!AM48</f>
        <v>0.15456674473067902</v>
      </c>
      <c r="J48" s="138">
        <f t="shared" ref="J48:P48" si="25">+J47/I47-1</f>
        <v>0.18154158215010141</v>
      </c>
      <c r="K48" s="138">
        <f t="shared" si="25"/>
        <v>0.25407725321888397</v>
      </c>
      <c r="L48" s="138">
        <f t="shared" si="25"/>
        <v>0.17111567419575624</v>
      </c>
      <c r="M48" s="138">
        <f t="shared" si="25"/>
        <v>6.3120981881940486E-2</v>
      </c>
      <c r="N48" s="138">
        <f t="shared" si="25"/>
        <v>-4.3430456294667463E-2</v>
      </c>
      <c r="O48" s="138">
        <f t="shared" si="25"/>
        <v>8.1609195402298829E-2</v>
      </c>
      <c r="P48" s="138">
        <f t="shared" si="25"/>
        <v>0.19211001062699262</v>
      </c>
      <c r="Q48" s="140">
        <v>0.23499999999999999</v>
      </c>
      <c r="S48" s="486"/>
    </row>
    <row r="49" spans="1:19" ht="14">
      <c r="A49" s="296" t="s">
        <v>93</v>
      </c>
      <c r="B49" s="196">
        <v>12.3</v>
      </c>
      <c r="C49" s="172">
        <v>22.4</v>
      </c>
      <c r="D49" s="172">
        <v>12.1</v>
      </c>
      <c r="E49" s="196">
        <f>'Interim Financial Statements'!N49</f>
        <v>1.2999999999999998</v>
      </c>
      <c r="F49" s="362">
        <f>'Interim Financial Statements'!Y49</f>
        <v>3</v>
      </c>
      <c r="G49" s="172">
        <f>'Interim Financial Statements'!AE49</f>
        <v>0</v>
      </c>
      <c r="H49" s="172">
        <f>'Interim Financial Statements'!AK49</f>
        <v>-0.6</v>
      </c>
      <c r="I49" s="172">
        <f>'Interim Financial Statements'!AM49</f>
        <v>0.4</v>
      </c>
      <c r="J49" s="172">
        <f>'Interim Financial Statements'!AO49</f>
        <v>0.5</v>
      </c>
      <c r="K49" s="172">
        <f>'Interim Financial Statements'!AQ49</f>
        <v>0.5</v>
      </c>
      <c r="L49" s="172">
        <v>0.7</v>
      </c>
      <c r="M49" s="172">
        <v>0.5</v>
      </c>
      <c r="N49" s="172">
        <v>0.1</v>
      </c>
      <c r="O49" s="170">
        <v>0.3</v>
      </c>
      <c r="P49" s="170">
        <v>0.2</v>
      </c>
      <c r="Q49" s="213">
        <v>-0.8</v>
      </c>
    </row>
    <row r="50" spans="1:19" ht="14">
      <c r="A50" s="366" t="s">
        <v>141</v>
      </c>
      <c r="B50" s="139">
        <v>-0.15</v>
      </c>
      <c r="C50" s="138">
        <f>+C49/B49-1</f>
        <v>0.82113821138211351</v>
      </c>
      <c r="D50" s="138">
        <f>+D49/C49-1</f>
        <v>-0.4598214285714286</v>
      </c>
      <c r="E50" s="139">
        <f>+E49/D49-1</f>
        <v>-0.8925619834710744</v>
      </c>
      <c r="F50" s="140">
        <f>+F49/E49-1</f>
        <v>1.3076923076923079</v>
      </c>
      <c r="G50" s="138">
        <f>+G49/F49-1</f>
        <v>-1</v>
      </c>
      <c r="H50" s="138" t="str">
        <f>'Interim Financial Statements'!AK50</f>
        <v>n/a</v>
      </c>
      <c r="I50" s="138" t="str">
        <f>'Interim Financial Statements'!AM50</f>
        <v>n/a</v>
      </c>
      <c r="J50" s="138">
        <f t="shared" ref="J50:P50" si="26">+J49/I49-1</f>
        <v>0.25</v>
      </c>
      <c r="K50" s="138">
        <f t="shared" si="26"/>
        <v>0</v>
      </c>
      <c r="L50" s="138">
        <f t="shared" si="26"/>
        <v>0.39999999999999991</v>
      </c>
      <c r="M50" s="138">
        <f t="shared" si="26"/>
        <v>-0.2857142857142857</v>
      </c>
      <c r="N50" s="138">
        <f t="shared" si="26"/>
        <v>-0.8</v>
      </c>
      <c r="O50" s="138">
        <f t="shared" si="26"/>
        <v>1.9999999999999996</v>
      </c>
      <c r="P50" s="138">
        <f t="shared" si="26"/>
        <v>-0.33333333333333326</v>
      </c>
      <c r="Q50" s="140" t="s">
        <v>168</v>
      </c>
    </row>
    <row r="51" spans="1:19" ht="14">
      <c r="A51" s="296" t="s">
        <v>39</v>
      </c>
      <c r="B51" s="196">
        <v>227.6</v>
      </c>
      <c r="C51" s="172">
        <v>399.2</v>
      </c>
      <c r="D51" s="172">
        <v>426.6</v>
      </c>
      <c r="E51" s="196">
        <f>+E41+E45-E49</f>
        <v>264.4000000000006</v>
      </c>
      <c r="F51" s="362">
        <f>+F41+F45-F49</f>
        <v>190.39999999999895</v>
      </c>
      <c r="G51" s="172">
        <f>+G41+G45-G49</f>
        <v>221.19999999999979</v>
      </c>
      <c r="H51" s="172">
        <f>'Interim Financial Statements'!AK51</f>
        <v>294.79999999999973</v>
      </c>
      <c r="I51" s="172">
        <f>'Interim Financial Statements'!AM51</f>
        <v>280.30000000000007</v>
      </c>
      <c r="J51" s="172">
        <f>'Interim Financial Statements'!AO51</f>
        <v>343.5</v>
      </c>
      <c r="K51" s="172">
        <f>'Interim Financial Statements'!AQ51</f>
        <v>426</v>
      </c>
      <c r="L51" s="172">
        <v>447.4</v>
      </c>
      <c r="M51" s="172">
        <v>487.5</v>
      </c>
      <c r="N51" s="172">
        <v>414.9</v>
      </c>
      <c r="O51" s="170">
        <v>547.20000000000005</v>
      </c>
      <c r="P51" s="170">
        <v>415.4</v>
      </c>
      <c r="Q51" s="213">
        <v>636.5</v>
      </c>
    </row>
    <row r="52" spans="1:19" ht="14">
      <c r="A52" s="366" t="s">
        <v>141</v>
      </c>
      <c r="B52" s="139">
        <v>-0.52</v>
      </c>
      <c r="C52" s="138">
        <f t="shared" ref="C52:P52" si="27">+C51/B51-1</f>
        <v>0.75395430579964851</v>
      </c>
      <c r="D52" s="138">
        <f t="shared" si="27"/>
        <v>6.8637274549098182E-2</v>
      </c>
      <c r="E52" s="139">
        <f t="shared" si="27"/>
        <v>-0.38021565869666996</v>
      </c>
      <c r="F52" s="140">
        <f t="shared" si="27"/>
        <v>-0.27987897125567884</v>
      </c>
      <c r="G52" s="138">
        <f t="shared" si="27"/>
        <v>0.16176470588235814</v>
      </c>
      <c r="H52" s="138">
        <f t="shared" si="27"/>
        <v>0.3327305605786619</v>
      </c>
      <c r="I52" s="138">
        <f t="shared" si="27"/>
        <v>-4.918588873812646E-2</v>
      </c>
      <c r="J52" s="138">
        <f t="shared" si="27"/>
        <v>0.22547270781305717</v>
      </c>
      <c r="K52" s="138">
        <f t="shared" si="27"/>
        <v>0.24017467248908297</v>
      </c>
      <c r="L52" s="138">
        <f t="shared" si="27"/>
        <v>5.0234741784037418E-2</v>
      </c>
      <c r="M52" s="138">
        <f t="shared" si="27"/>
        <v>8.9628967367009427E-2</v>
      </c>
      <c r="N52" s="138">
        <f t="shared" si="27"/>
        <v>-0.14892307692307694</v>
      </c>
      <c r="O52" s="138">
        <f t="shared" si="27"/>
        <v>0.31887201735357928</v>
      </c>
      <c r="P52" s="138">
        <f t="shared" si="27"/>
        <v>-0.24086257309941528</v>
      </c>
      <c r="Q52" s="140">
        <v>0.53200000000000003</v>
      </c>
      <c r="S52" s="486"/>
    </row>
    <row r="53" spans="1:19" ht="14">
      <c r="A53" s="296" t="s">
        <v>40</v>
      </c>
      <c r="B53" s="196">
        <v>424</v>
      </c>
      <c r="C53" s="172">
        <v>417.1</v>
      </c>
      <c r="D53" s="172">
        <v>453.1</v>
      </c>
      <c r="E53" s="196">
        <f>+E43+E47-E49</f>
        <v>325.61561076540096</v>
      </c>
      <c r="F53" s="362">
        <f>+F43+F47-F49</f>
        <v>285.48934936829193</v>
      </c>
      <c r="G53" s="172">
        <f>+G43+G47-G49</f>
        <v>293.10900351999993</v>
      </c>
      <c r="H53" s="172">
        <f>'Interim Financial Statements'!AK53</f>
        <v>277.39999999999941</v>
      </c>
      <c r="I53" s="172">
        <f>'Interim Financial Statements'!AM53</f>
        <v>314.30000000000007</v>
      </c>
      <c r="J53" s="172">
        <f>'Interim Financial Statements'!AO53</f>
        <v>352.1</v>
      </c>
      <c r="K53" s="172">
        <f>'Interim Financial Statements'!AQ53</f>
        <v>449.7</v>
      </c>
      <c r="L53" s="172">
        <v>480.4</v>
      </c>
      <c r="M53" s="172">
        <v>522.20000000000005</v>
      </c>
      <c r="N53" s="172">
        <v>431.4</v>
      </c>
      <c r="O53" s="170">
        <v>578.1</v>
      </c>
      <c r="P53" s="170">
        <v>624.9</v>
      </c>
      <c r="Q53" s="213">
        <v>764.2</v>
      </c>
    </row>
    <row r="54" spans="1:19" ht="14">
      <c r="A54" s="366" t="s">
        <v>141</v>
      </c>
      <c r="B54" s="139">
        <v>-0.1</v>
      </c>
      <c r="C54" s="138">
        <f t="shared" ref="C54:P54" si="28">+C53/B53-1</f>
        <v>-1.6273584905660332E-2</v>
      </c>
      <c r="D54" s="138">
        <f t="shared" si="28"/>
        <v>8.6310237353152797E-2</v>
      </c>
      <c r="E54" s="139">
        <f t="shared" si="28"/>
        <v>-0.2813603823319335</v>
      </c>
      <c r="F54" s="140">
        <f t="shared" si="28"/>
        <v>-0.12323199524367745</v>
      </c>
      <c r="G54" s="138">
        <f t="shared" si="28"/>
        <v>2.6689801803703617E-2</v>
      </c>
      <c r="H54" s="138">
        <f t="shared" si="28"/>
        <v>-5.3594407989342563E-2</v>
      </c>
      <c r="I54" s="138">
        <f t="shared" si="28"/>
        <v>0.13302090843547498</v>
      </c>
      <c r="J54" s="138">
        <f t="shared" si="28"/>
        <v>0.12026726057906445</v>
      </c>
      <c r="K54" s="138">
        <f t="shared" si="28"/>
        <v>0.27719397898324338</v>
      </c>
      <c r="L54" s="138">
        <f t="shared" si="28"/>
        <v>6.8267734044918704E-2</v>
      </c>
      <c r="M54" s="138">
        <f t="shared" si="28"/>
        <v>8.7010824313072499E-2</v>
      </c>
      <c r="N54" s="138">
        <f t="shared" si="28"/>
        <v>-0.17387973956338576</v>
      </c>
      <c r="O54" s="138">
        <f t="shared" si="28"/>
        <v>0.34005563282336593</v>
      </c>
      <c r="P54" s="138">
        <f t="shared" si="28"/>
        <v>8.0954852101712493E-2</v>
      </c>
      <c r="Q54" s="140">
        <v>0.223</v>
      </c>
      <c r="S54" s="486"/>
    </row>
    <row r="55" spans="1:19" ht="14">
      <c r="A55" s="296" t="s">
        <v>86</v>
      </c>
      <c r="B55" s="196"/>
      <c r="C55" s="172"/>
      <c r="D55" s="172">
        <f>+'Interim Financial Statements'!G55</f>
        <v>363.3</v>
      </c>
      <c r="E55" s="196">
        <f>'Interim Financial Statements'!N55</f>
        <v>363</v>
      </c>
      <c r="F55" s="362">
        <f>'Interim Financial Statements'!Y55</f>
        <v>363.87</v>
      </c>
      <c r="G55" s="172">
        <f>'Interim Financial Statements'!AE55</f>
        <v>363.55</v>
      </c>
      <c r="H55" s="172">
        <f>'Interim Financial Statements'!AK55</f>
        <v>364.3</v>
      </c>
      <c r="I55" s="172">
        <f>'Interim Financial Statements'!AM55</f>
        <v>363.7</v>
      </c>
      <c r="J55" s="172">
        <f>'Interim Financial Statements'!AO55</f>
        <v>362.11796800000002</v>
      </c>
      <c r="K55" s="172">
        <f>'Interim Financial Statements'!AQ55</f>
        <v>364.7</v>
      </c>
      <c r="L55" s="172">
        <f>'Interim Financial Statements'!AS55</f>
        <v>367.90000000000003</v>
      </c>
      <c r="M55" s="172">
        <f>'Interim Financial Statements'!AU55</f>
        <v>363.7</v>
      </c>
      <c r="N55" s="172">
        <v>364</v>
      </c>
      <c r="O55" s="170">
        <v>365</v>
      </c>
      <c r="P55" s="170">
        <v>366.4</v>
      </c>
      <c r="Q55" s="213">
        <v>367.8</v>
      </c>
    </row>
    <row r="56" spans="1:19" ht="14">
      <c r="A56" s="296" t="s">
        <v>94</v>
      </c>
      <c r="B56" s="198">
        <v>0.62</v>
      </c>
      <c r="C56" s="187">
        <v>1.0900000000000001</v>
      </c>
      <c r="D56" s="187">
        <v>1.17</v>
      </c>
      <c r="E56" s="198">
        <f>'Interim Financial Statements'!N56</f>
        <v>0.72837465564738457</v>
      </c>
      <c r="F56" s="364">
        <f>'Interim Financial Statements'!Y56</f>
        <v>0.52326380300656539</v>
      </c>
      <c r="G56" s="187">
        <f>'Interim Financial Statements'!AE56</f>
        <v>0.60844450557007235</v>
      </c>
      <c r="H56" s="187">
        <f>'Interim Financial Statements'!AK56</f>
        <v>0.80922316771891223</v>
      </c>
      <c r="I56" s="187">
        <f>'Interim Financial Statements'!AM56</f>
        <v>0.77069012922738545</v>
      </c>
      <c r="J56" s="187">
        <f>'Interim Financial Statements'!AO56</f>
        <v>0.94899999999999995</v>
      </c>
      <c r="K56" s="187">
        <f>'Interim Financial Statements'!AQ56</f>
        <v>1.1679999999999999</v>
      </c>
      <c r="L56" s="187">
        <v>1.216</v>
      </c>
      <c r="M56" s="187">
        <v>1.34</v>
      </c>
      <c r="N56" s="187">
        <v>1.1399999999999999</v>
      </c>
      <c r="O56" s="187">
        <v>1.4990000000000001</v>
      </c>
      <c r="P56" s="187">
        <v>1.1339999999999999</v>
      </c>
      <c r="Q56" s="364">
        <v>1.73</v>
      </c>
    </row>
    <row r="57" spans="1:19" ht="14">
      <c r="A57" s="366" t="s">
        <v>141</v>
      </c>
      <c r="B57" s="139">
        <v>-0.52</v>
      </c>
      <c r="C57" s="138">
        <f t="shared" ref="C57:P57" si="29">+C56/B56-1</f>
        <v>0.75806451612903247</v>
      </c>
      <c r="D57" s="138">
        <f t="shared" si="29"/>
        <v>7.3394495412843819E-2</v>
      </c>
      <c r="E57" s="139">
        <f t="shared" si="29"/>
        <v>-0.37745755927573965</v>
      </c>
      <c r="F57" s="140">
        <f t="shared" si="29"/>
        <v>-0.2816007545711694</v>
      </c>
      <c r="G57" s="138">
        <f t="shared" si="29"/>
        <v>0.16278730169003919</v>
      </c>
      <c r="H57" s="138">
        <f t="shared" si="29"/>
        <v>0.32998681114019357</v>
      </c>
      <c r="I57" s="138">
        <f t="shared" si="29"/>
        <v>-4.7617319954081472E-2</v>
      </c>
      <c r="J57" s="138">
        <f t="shared" si="29"/>
        <v>0.23136389582590033</v>
      </c>
      <c r="K57" s="138">
        <f t="shared" si="29"/>
        <v>0.23076923076923084</v>
      </c>
      <c r="L57" s="138">
        <f t="shared" si="29"/>
        <v>4.1095890410958846E-2</v>
      </c>
      <c r="M57" s="138">
        <f t="shared" si="29"/>
        <v>0.10197368421052633</v>
      </c>
      <c r="N57" s="138">
        <f t="shared" si="29"/>
        <v>-0.14925373134328368</v>
      </c>
      <c r="O57" s="138">
        <f t="shared" si="29"/>
        <v>0.31491228070175459</v>
      </c>
      <c r="P57" s="138">
        <f t="shared" si="29"/>
        <v>-0.24349566377585075</v>
      </c>
      <c r="Q57" s="140">
        <v>0.52600000000000002</v>
      </c>
      <c r="S57" s="486"/>
    </row>
    <row r="58" spans="1:19" ht="14">
      <c r="A58" s="296" t="s">
        <v>95</v>
      </c>
      <c r="B58" s="198">
        <v>1.1599999999999999</v>
      </c>
      <c r="C58" s="187">
        <v>1.2</v>
      </c>
      <c r="D58" s="187">
        <v>1.25</v>
      </c>
      <c r="E58" s="198">
        <f>'Interim Financial Statements'!N58</f>
        <v>0.89701270183306048</v>
      </c>
      <c r="F58" s="364">
        <f>'Interim Financial Statements'!Y58</f>
        <v>0.78459161065295824</v>
      </c>
      <c r="G58" s="187">
        <f>'Interim Financial Statements'!AE58</f>
        <v>0.80624124197496883</v>
      </c>
      <c r="H58" s="187">
        <f>'Interim Financial Statements'!AK58</f>
        <v>0.76146033488882625</v>
      </c>
      <c r="I58" s="187">
        <f>'Interim Financial Statements'!AM58</f>
        <v>0.86417376959032188</v>
      </c>
      <c r="J58" s="187">
        <f>'Interim Financial Statements'!AO58</f>
        <v>0.97199999999999998</v>
      </c>
      <c r="K58" s="187">
        <f>'Interim Financial Statements'!AQ58</f>
        <v>1.2330000000000001</v>
      </c>
      <c r="L58" s="187">
        <v>1.306</v>
      </c>
      <c r="M58" s="187">
        <v>1.4359999999999999</v>
      </c>
      <c r="N58" s="187">
        <v>1.1850000000000001</v>
      </c>
      <c r="O58" s="187">
        <v>1.5840000000000001</v>
      </c>
      <c r="P58" s="187">
        <v>1.7055131004366813</v>
      </c>
      <c r="Q58" s="364">
        <v>2.0779999999999998</v>
      </c>
    </row>
    <row r="59" spans="1:19" ht="14.5" thickBot="1">
      <c r="A59" s="367" t="s">
        <v>141</v>
      </c>
      <c r="B59" s="359">
        <v>-0.1</v>
      </c>
      <c r="C59" s="357">
        <f t="shared" ref="C59:P59" si="30">+C58/B58-1</f>
        <v>3.4482758620689724E-2</v>
      </c>
      <c r="D59" s="357">
        <f t="shared" si="30"/>
        <v>4.1666666666666741E-2</v>
      </c>
      <c r="E59" s="359">
        <f t="shared" si="30"/>
        <v>-0.2823898385335516</v>
      </c>
      <c r="F59" s="360">
        <f t="shared" si="30"/>
        <v>-0.12532831580909376</v>
      </c>
      <c r="G59" s="357">
        <f t="shared" si="30"/>
        <v>2.759350345843381E-2</v>
      </c>
      <c r="H59" s="357">
        <f t="shared" si="30"/>
        <v>-5.5542813682474601E-2</v>
      </c>
      <c r="I59" s="357">
        <f t="shared" si="30"/>
        <v>0.13489006583184904</v>
      </c>
      <c r="J59" s="357">
        <f t="shared" si="30"/>
        <v>0.12477378300986297</v>
      </c>
      <c r="K59" s="357">
        <f t="shared" si="30"/>
        <v>0.2685185185185186</v>
      </c>
      <c r="L59" s="357">
        <f t="shared" si="30"/>
        <v>5.9205190592051871E-2</v>
      </c>
      <c r="M59" s="357">
        <f t="shared" si="30"/>
        <v>9.9540581929555838E-2</v>
      </c>
      <c r="N59" s="357">
        <f t="shared" si="30"/>
        <v>-0.17479108635097484</v>
      </c>
      <c r="O59" s="357">
        <f t="shared" si="30"/>
        <v>0.33670886075949369</v>
      </c>
      <c r="P59" s="357">
        <f t="shared" si="30"/>
        <v>7.6712815932248324E-2</v>
      </c>
      <c r="Q59" s="360">
        <v>0.218</v>
      </c>
      <c r="S59" s="486"/>
    </row>
    <row r="60" spans="1:19">
      <c r="A60" s="14"/>
      <c r="B60" s="14"/>
      <c r="C60" s="14"/>
      <c r="D60" s="14"/>
      <c r="E60" s="14"/>
      <c r="F60" s="14"/>
      <c r="G60" s="14"/>
      <c r="H60" s="14"/>
      <c r="I60" s="14"/>
      <c r="J60" s="14"/>
      <c r="K60" s="14"/>
      <c r="L60" s="14"/>
      <c r="M60" s="14"/>
      <c r="N60" s="14"/>
      <c r="O60" s="14"/>
      <c r="P60" s="14"/>
    </row>
    <row r="61" spans="1:19" ht="13" thickBot="1">
      <c r="A61" s="14"/>
      <c r="B61" s="14"/>
      <c r="C61" s="14"/>
      <c r="D61" s="14"/>
      <c r="E61" s="14"/>
      <c r="F61" s="14"/>
      <c r="G61" s="14"/>
      <c r="H61" s="14"/>
      <c r="I61" s="14"/>
      <c r="J61" s="14"/>
      <c r="K61" s="14"/>
      <c r="L61" s="14"/>
      <c r="M61" s="14"/>
      <c r="N61" s="14"/>
      <c r="O61" s="14"/>
      <c r="P61" s="14"/>
    </row>
    <row r="62" spans="1:19" ht="20">
      <c r="A62" s="262" t="s">
        <v>43</v>
      </c>
      <c r="B62" s="369"/>
      <c r="C62" s="370"/>
      <c r="D62" s="370"/>
      <c r="E62" s="50" t="s">
        <v>26</v>
      </c>
      <c r="F62" s="371"/>
      <c r="G62" s="372"/>
      <c r="H62" s="372"/>
      <c r="I62" s="372"/>
      <c r="J62" s="372"/>
      <c r="K62" s="372"/>
      <c r="L62" s="372"/>
      <c r="M62" s="372"/>
      <c r="N62" s="372"/>
      <c r="O62" s="372"/>
      <c r="P62" s="373"/>
      <c r="Q62" s="373"/>
    </row>
    <row r="63" spans="1:19" ht="13.5" customHeight="1" thickBot="1">
      <c r="A63" s="263" t="s">
        <v>161</v>
      </c>
      <c r="B63" s="160">
        <v>2008</v>
      </c>
      <c r="C63" s="159">
        <v>2009</v>
      </c>
      <c r="D63" s="159">
        <v>2010</v>
      </c>
      <c r="E63" s="160" t="s">
        <v>66</v>
      </c>
      <c r="F63" s="161" t="s">
        <v>67</v>
      </c>
      <c r="G63" s="159">
        <v>2013</v>
      </c>
      <c r="H63" s="159">
        <v>2014</v>
      </c>
      <c r="I63" s="159">
        <v>2015</v>
      </c>
      <c r="J63" s="159">
        <v>2016</v>
      </c>
      <c r="K63" s="159">
        <v>2017</v>
      </c>
      <c r="L63" s="159">
        <v>2018</v>
      </c>
      <c r="M63" s="159">
        <v>2019</v>
      </c>
      <c r="N63" s="159">
        <v>2020</v>
      </c>
      <c r="O63" s="159">
        <v>2021</v>
      </c>
      <c r="P63" s="161">
        <v>2022</v>
      </c>
      <c r="Q63" s="161">
        <v>2023</v>
      </c>
    </row>
    <row r="64" spans="1:19" ht="14">
      <c r="A64" s="382" t="s">
        <v>44</v>
      </c>
      <c r="B64" s="196">
        <v>5140.3999999999996</v>
      </c>
      <c r="C64" s="172">
        <v>5048.3</v>
      </c>
      <c r="D64" s="172">
        <v>5281.2</v>
      </c>
      <c r="E64" s="196">
        <f>'Interim Financial Statements'!N64</f>
        <v>5228.3999999999996</v>
      </c>
      <c r="F64" s="362">
        <f>'Interim Financial Statements'!Y64</f>
        <v>5279.3</v>
      </c>
      <c r="G64" s="172">
        <f>'Interim Financial Statements'!AE64</f>
        <v>5123.2</v>
      </c>
      <c r="H64" s="172">
        <f>'Interim Financial Statements'!AK64</f>
        <v>4816.8999999999996</v>
      </c>
      <c r="I64" s="172">
        <f>'Interim Financial Statements'!AM64</f>
        <v>4665.2</v>
      </c>
      <c r="J64" s="172">
        <f>'Interim Financial Statements'!AO64</f>
        <v>4503.6000000000004</v>
      </c>
      <c r="K64" s="172">
        <f>'Interim Financial Statements'!AQ64</f>
        <v>4344.6000000000004</v>
      </c>
      <c r="L64" s="172">
        <v>4416.1000000000004</v>
      </c>
      <c r="M64" s="170">
        <v>5137.7</v>
      </c>
      <c r="N64" s="170">
        <v>5046</v>
      </c>
      <c r="O64" s="170">
        <v>5357.4</v>
      </c>
      <c r="P64" s="213">
        <v>6139.5</v>
      </c>
      <c r="Q64" s="213">
        <v>5969.4</v>
      </c>
    </row>
    <row r="65" spans="1:17" ht="14">
      <c r="A65" s="383" t="s">
        <v>45</v>
      </c>
      <c r="B65" s="376">
        <v>475.5</v>
      </c>
      <c r="C65" s="377">
        <v>425.1</v>
      </c>
      <c r="D65" s="377">
        <v>481.7</v>
      </c>
      <c r="E65" s="376">
        <f>'Interim Financial Statements'!N65</f>
        <v>447.7</v>
      </c>
      <c r="F65" s="378">
        <f>'Interim Financial Statements'!Y65</f>
        <v>458</v>
      </c>
      <c r="G65" s="377">
        <f>'Interim Financial Statements'!AE65</f>
        <v>429</v>
      </c>
      <c r="H65" s="377">
        <f>'Interim Financial Statements'!AK65</f>
        <v>414.2</v>
      </c>
      <c r="I65" s="377">
        <f>'Interim Financial Statements'!AM65</f>
        <v>435.8</v>
      </c>
      <c r="J65" s="377">
        <f>'Interim Financial Statements'!AO65</f>
        <v>431.5</v>
      </c>
      <c r="K65" s="377">
        <f>'Interim Financial Statements'!AQ65</f>
        <v>416.8</v>
      </c>
      <c r="L65" s="377">
        <v>463.2</v>
      </c>
      <c r="M65" s="377">
        <v>488.1</v>
      </c>
      <c r="N65" s="377">
        <v>417.6</v>
      </c>
      <c r="O65" s="379">
        <v>519.79999999999995</v>
      </c>
      <c r="P65" s="380">
        <v>770</v>
      </c>
      <c r="Q65" s="380">
        <v>773.3</v>
      </c>
    </row>
    <row r="66" spans="1:17" ht="14">
      <c r="A66" s="375" t="s">
        <v>165</v>
      </c>
      <c r="B66" s="376">
        <v>1181.3</v>
      </c>
      <c r="C66" s="377">
        <v>1091.4000000000001</v>
      </c>
      <c r="D66" s="377">
        <v>1121.7</v>
      </c>
      <c r="E66" s="376">
        <f>'Interim Financial Statements'!N66</f>
        <v>1120</v>
      </c>
      <c r="F66" s="378">
        <f>'Interim Financial Statements'!Y66</f>
        <v>1073.6999999999998</v>
      </c>
      <c r="G66" s="377">
        <f>'Interim Financial Statements'!AE66</f>
        <v>985.09999999999991</v>
      </c>
      <c r="H66" s="377">
        <f>'Interim Financial Statements'!AK66</f>
        <v>1011.6</v>
      </c>
      <c r="I66" s="377">
        <f>'Interim Financial Statements'!AM66</f>
        <v>944.8</v>
      </c>
      <c r="J66" s="377">
        <f>'Interim Financial Statements'!AO66</f>
        <v>1056.5999999999999</v>
      </c>
      <c r="K66" s="379">
        <f>'Interim Financial Statements'!AQ66</f>
        <v>982.4</v>
      </c>
      <c r="L66" s="379">
        <f>969.7+3</f>
        <v>972.7</v>
      </c>
      <c r="M66" s="379">
        <f>1029.7+0.6</f>
        <v>1030.3</v>
      </c>
      <c r="N66" s="379">
        <v>787.1</v>
      </c>
      <c r="O66" s="379">
        <f>975.3+0.1</f>
        <v>975.4</v>
      </c>
      <c r="P66" s="380">
        <v>1162.5</v>
      </c>
      <c r="Q66" s="380">
        <f>1205.1+3.3</f>
        <v>1208.3999999999999</v>
      </c>
    </row>
    <row r="67" spans="1:17" ht="14">
      <c r="A67" s="383" t="s">
        <v>132</v>
      </c>
      <c r="B67" s="381"/>
      <c r="C67" s="379"/>
      <c r="D67" s="379"/>
      <c r="E67" s="376"/>
      <c r="F67" s="378"/>
      <c r="G67" s="379"/>
      <c r="H67" s="379"/>
      <c r="I67" s="379"/>
      <c r="J67" s="379"/>
      <c r="K67" s="379">
        <f>150.9+12</f>
        <v>162.9</v>
      </c>
      <c r="L67" s="377">
        <v>290</v>
      </c>
      <c r="M67" s="377">
        <v>734.9</v>
      </c>
      <c r="N67" s="377">
        <v>106.6</v>
      </c>
      <c r="O67" s="379">
        <v>878.9</v>
      </c>
      <c r="P67" s="380">
        <v>1063.8</v>
      </c>
      <c r="Q67" s="380">
        <v>667.9</v>
      </c>
    </row>
    <row r="68" spans="1:17" ht="14">
      <c r="A68" s="383" t="s">
        <v>46</v>
      </c>
      <c r="B68" s="376">
        <v>724.6</v>
      </c>
      <c r="C68" s="377">
        <v>232</v>
      </c>
      <c r="D68" s="377">
        <v>326.10000000000002</v>
      </c>
      <c r="E68" s="376">
        <f>'Interim Financial Statements'!N68</f>
        <v>447.4</v>
      </c>
      <c r="F68" s="378">
        <f>'Interim Financial Statements'!Y68</f>
        <v>439.09999999999997</v>
      </c>
      <c r="G68" s="377">
        <f>'Interim Financial Statements'!AE68</f>
        <v>737.5</v>
      </c>
      <c r="H68" s="377">
        <f>'Interim Financial Statements'!AK68</f>
        <v>636.29999999999995</v>
      </c>
      <c r="I68" s="377">
        <f>'Interim Financial Statements'!AM68</f>
        <v>487.4</v>
      </c>
      <c r="J68" s="377">
        <f>'Interim Financial Statements'!AO68</f>
        <v>573.20000000000005</v>
      </c>
      <c r="K68" s="379">
        <f>'Interim Financial Statements'!AQ68</f>
        <v>723.5</v>
      </c>
      <c r="L68" s="377">
        <v>712.3</v>
      </c>
      <c r="M68" s="377">
        <v>823</v>
      </c>
      <c r="N68" s="377">
        <v>1215.8</v>
      </c>
      <c r="O68" s="379">
        <v>782.8</v>
      </c>
      <c r="P68" s="380">
        <v>719.9</v>
      </c>
      <c r="Q68" s="380">
        <v>1260.5999999999999</v>
      </c>
    </row>
    <row r="69" spans="1:17" ht="14">
      <c r="A69" s="382" t="s">
        <v>96</v>
      </c>
      <c r="B69" s="196">
        <f>+SUM(B65:B68)</f>
        <v>2381.4</v>
      </c>
      <c r="C69" s="172">
        <f t="shared" ref="C69:M69" si="31">+SUM(C65:C68)</f>
        <v>1748.5</v>
      </c>
      <c r="D69" s="172">
        <f t="shared" si="31"/>
        <v>1929.5</v>
      </c>
      <c r="E69" s="196">
        <f t="shared" si="31"/>
        <v>2015.1</v>
      </c>
      <c r="F69" s="362">
        <f t="shared" si="31"/>
        <v>1970.7999999999997</v>
      </c>
      <c r="G69" s="172">
        <f t="shared" si="31"/>
        <v>2151.6</v>
      </c>
      <c r="H69" s="172">
        <f t="shared" si="31"/>
        <v>2062.1</v>
      </c>
      <c r="I69" s="172">
        <f t="shared" si="31"/>
        <v>1868</v>
      </c>
      <c r="J69" s="172">
        <f t="shared" si="31"/>
        <v>2061.3000000000002</v>
      </c>
      <c r="K69" s="172">
        <f t="shared" si="31"/>
        <v>2285.6000000000004</v>
      </c>
      <c r="L69" s="172">
        <f t="shared" si="31"/>
        <v>2438.1999999999998</v>
      </c>
      <c r="M69" s="172">
        <f t="shared" si="31"/>
        <v>3076.3</v>
      </c>
      <c r="N69" s="172">
        <f>SUM(N65:N68)</f>
        <v>2527.1</v>
      </c>
      <c r="O69" s="170">
        <f>SUM(O65:O68)</f>
        <v>3156.8999999999996</v>
      </c>
      <c r="P69" s="213">
        <f>SUM(P65:P68)</f>
        <v>3716.2000000000003</v>
      </c>
      <c r="Q69" s="213">
        <v>3910.2</v>
      </c>
    </row>
    <row r="70" spans="1:17" ht="14">
      <c r="A70" s="264" t="s">
        <v>47</v>
      </c>
      <c r="B70" s="237">
        <f t="shared" ref="B70:L70" si="32">+B69+B64</f>
        <v>7521.7999999999993</v>
      </c>
      <c r="C70" s="235">
        <f t="shared" si="32"/>
        <v>6796.8</v>
      </c>
      <c r="D70" s="235">
        <f t="shared" si="32"/>
        <v>7210.7</v>
      </c>
      <c r="E70" s="237">
        <f t="shared" si="32"/>
        <v>7243.5</v>
      </c>
      <c r="F70" s="239">
        <f t="shared" si="32"/>
        <v>7250.1</v>
      </c>
      <c r="G70" s="235">
        <f t="shared" si="32"/>
        <v>7274.7999999999993</v>
      </c>
      <c r="H70" s="235">
        <f t="shared" si="32"/>
        <v>6879</v>
      </c>
      <c r="I70" s="235">
        <f t="shared" si="32"/>
        <v>6533.2</v>
      </c>
      <c r="J70" s="235">
        <f t="shared" si="32"/>
        <v>6564.9000000000005</v>
      </c>
      <c r="K70" s="235">
        <f t="shared" si="32"/>
        <v>6630.2000000000007</v>
      </c>
      <c r="L70" s="235">
        <f t="shared" si="32"/>
        <v>6854.3</v>
      </c>
      <c r="M70" s="235">
        <v>8214</v>
      </c>
      <c r="N70" s="235">
        <f>N69+N64</f>
        <v>7573.1</v>
      </c>
      <c r="O70" s="235">
        <f>O69+O64</f>
        <v>8514.2999999999993</v>
      </c>
      <c r="P70" s="239">
        <f>P69+P64</f>
        <v>9855.7000000000007</v>
      </c>
      <c r="Q70" s="239">
        <v>9879.6</v>
      </c>
    </row>
    <row r="71" spans="1:17" ht="4.5" customHeight="1">
      <c r="A71" s="383"/>
      <c r="B71" s="376"/>
      <c r="C71" s="377"/>
      <c r="D71" s="377"/>
      <c r="E71" s="376"/>
      <c r="F71" s="378"/>
      <c r="G71" s="377"/>
      <c r="H71" s="377"/>
      <c r="I71" s="377"/>
      <c r="J71" s="377"/>
      <c r="K71" s="377"/>
      <c r="L71" s="377"/>
      <c r="M71" s="379"/>
      <c r="N71" s="379"/>
      <c r="O71" s="379"/>
      <c r="P71" s="380"/>
      <c r="Q71" s="380"/>
    </row>
    <row r="72" spans="1:17" ht="14">
      <c r="A72" s="383" t="s">
        <v>48</v>
      </c>
      <c r="B72" s="376">
        <v>921.3</v>
      </c>
      <c r="C72" s="377">
        <v>307</v>
      </c>
      <c r="D72" s="377">
        <v>535.1</v>
      </c>
      <c r="E72" s="376">
        <f>'Interim Financial Statements'!N73</f>
        <v>321.5</v>
      </c>
      <c r="F72" s="378">
        <f>'Interim Financial Statements'!Y73</f>
        <v>555</v>
      </c>
      <c r="G72" s="377">
        <f>'Interim Financial Statements'!AE73</f>
        <v>446.2</v>
      </c>
      <c r="H72" s="377">
        <f>'Interim Financial Statements'!AK73</f>
        <v>548.6</v>
      </c>
      <c r="I72" s="377">
        <f>'Interim Financial Statements'!AM73</f>
        <v>781.5</v>
      </c>
      <c r="J72" s="377">
        <f>'Interim Financial Statements'!AO73</f>
        <v>156.5</v>
      </c>
      <c r="K72" s="377">
        <f>'Interim Financial Statements'!AQ73</f>
        <v>166.4</v>
      </c>
      <c r="L72" s="377">
        <v>136.4</v>
      </c>
      <c r="M72" s="379">
        <v>761.8</v>
      </c>
      <c r="N72" s="379">
        <v>315.2</v>
      </c>
      <c r="O72" s="379">
        <v>381.7</v>
      </c>
      <c r="P72" s="380">
        <v>337</v>
      </c>
      <c r="Q72" s="380">
        <v>948.1</v>
      </c>
    </row>
    <row r="73" spans="1:17" ht="14">
      <c r="A73" s="383" t="s">
        <v>49</v>
      </c>
      <c r="B73" s="376">
        <v>1353.3</v>
      </c>
      <c r="C73" s="377">
        <v>1335.6</v>
      </c>
      <c r="D73" s="377">
        <v>1501.3</v>
      </c>
      <c r="E73" s="376">
        <f>'Interim Financial Statements'!N74</f>
        <v>1589.6</v>
      </c>
      <c r="F73" s="378">
        <f>'Interim Financial Statements'!Y74</f>
        <v>1667.3</v>
      </c>
      <c r="G73" s="377">
        <f>'Interim Financial Statements'!AE74</f>
        <v>1619.8999999999999</v>
      </c>
      <c r="H73" s="377">
        <f>'Interim Financial Statements'!AK74</f>
        <v>1647.3</v>
      </c>
      <c r="I73" s="377">
        <f>'Interim Financial Statements'!AM74</f>
        <v>1709.4</v>
      </c>
      <c r="J73" s="377">
        <f>'Interim Financial Statements'!AO74</f>
        <v>1811.6</v>
      </c>
      <c r="K73" s="377">
        <f>'Interim Financial Statements'!AQ74</f>
        <v>1730</v>
      </c>
      <c r="L73" s="377">
        <v>1882.2</v>
      </c>
      <c r="M73" s="379">
        <v>1905.4</v>
      </c>
      <c r="N73" s="379">
        <v>1711</v>
      </c>
      <c r="O73" s="379">
        <v>2134.6999999999998</v>
      </c>
      <c r="P73" s="380">
        <v>2669.7</v>
      </c>
      <c r="Q73" s="380">
        <v>2898.2</v>
      </c>
    </row>
    <row r="74" spans="1:17" ht="14">
      <c r="A74" s="382" t="s">
        <v>50</v>
      </c>
      <c r="B74" s="196">
        <f t="shared" ref="B74:G74" si="33">+B73+B72</f>
        <v>2274.6</v>
      </c>
      <c r="C74" s="172">
        <f t="shared" si="33"/>
        <v>1642.6</v>
      </c>
      <c r="D74" s="172">
        <f t="shared" si="33"/>
        <v>2036.4</v>
      </c>
      <c r="E74" s="196">
        <f t="shared" si="33"/>
        <v>1911.1</v>
      </c>
      <c r="F74" s="362">
        <f t="shared" si="33"/>
        <v>2222.3000000000002</v>
      </c>
      <c r="G74" s="172">
        <f t="shared" si="33"/>
        <v>2066.1</v>
      </c>
      <c r="H74" s="172">
        <f>+H73+H72</f>
        <v>2195.9</v>
      </c>
      <c r="I74" s="172">
        <f>+I73+I72</f>
        <v>2490.9</v>
      </c>
      <c r="J74" s="172">
        <f>+J73+J72</f>
        <v>1968.1</v>
      </c>
      <c r="K74" s="172">
        <f>+K73+K72</f>
        <v>1896.4</v>
      </c>
      <c r="L74" s="172">
        <f>+L73+L72</f>
        <v>2018.6000000000001</v>
      </c>
      <c r="M74" s="170">
        <v>2667.2</v>
      </c>
      <c r="N74" s="170">
        <v>2026.2</v>
      </c>
      <c r="O74" s="170">
        <f>SUM(O72:O73)</f>
        <v>2516.3999999999996</v>
      </c>
      <c r="P74" s="213">
        <f>SUM(P72:P73)</f>
        <v>3006.7</v>
      </c>
      <c r="Q74" s="213">
        <v>3846.3</v>
      </c>
    </row>
    <row r="75" spans="1:17" ht="14">
      <c r="A75" s="383" t="s">
        <v>51</v>
      </c>
      <c r="B75" s="376">
        <v>1893.3</v>
      </c>
      <c r="C75" s="377">
        <v>2100.6</v>
      </c>
      <c r="D75" s="377">
        <v>1656.4</v>
      </c>
      <c r="E75" s="376">
        <f>'Interim Financial Statements'!N76</f>
        <v>1939.8</v>
      </c>
      <c r="F75" s="378">
        <f>'Interim Financial Statements'!Y76</f>
        <v>1604.7</v>
      </c>
      <c r="G75" s="377">
        <f>'Interim Financial Statements'!AE76</f>
        <v>1853.6</v>
      </c>
      <c r="H75" s="377">
        <f>'Interim Financial Statements'!AK76</f>
        <v>1556.3</v>
      </c>
      <c r="I75" s="377">
        <f>'Interim Financial Statements'!AM76</f>
        <v>923</v>
      </c>
      <c r="J75" s="377">
        <f>'Interim Financial Statements'!AO76</f>
        <v>1468.1</v>
      </c>
      <c r="K75" s="377">
        <f>'Interim Financial Statements'!AQ76</f>
        <v>1459.8</v>
      </c>
      <c r="L75" s="377">
        <v>1468</v>
      </c>
      <c r="M75" s="379">
        <v>2562.9</v>
      </c>
      <c r="N75" s="379">
        <v>2610.3000000000002</v>
      </c>
      <c r="O75" s="379">
        <v>2555.6999999999998</v>
      </c>
      <c r="P75" s="380">
        <v>3082.9</v>
      </c>
      <c r="Q75" s="380">
        <v>2476.4</v>
      </c>
    </row>
    <row r="76" spans="1:17" ht="14">
      <c r="A76" s="383" t="s">
        <v>52</v>
      </c>
      <c r="B76" s="376">
        <v>423.1</v>
      </c>
      <c r="C76" s="377">
        <v>457.7</v>
      </c>
      <c r="D76" s="377">
        <v>457.1</v>
      </c>
      <c r="E76" s="376">
        <f>'Interim Financial Statements'!N77</f>
        <v>472.4</v>
      </c>
      <c r="F76" s="378">
        <f>'Interim Financial Statements'!Y77</f>
        <v>416.6</v>
      </c>
      <c r="G76" s="377">
        <f>'Interim Financial Statements'!AE77</f>
        <v>387.8</v>
      </c>
      <c r="H76" s="377">
        <f>'Interim Financial Statements'!AK77</f>
        <v>335.7</v>
      </c>
      <c r="I76" s="377">
        <f>'Interim Financial Statements'!AM77</f>
        <v>295.2</v>
      </c>
      <c r="J76" s="377">
        <f>'Interim Financial Statements'!AO77</f>
        <v>258.60000000000002</v>
      </c>
      <c r="K76" s="377">
        <f>'Interim Financial Statements'!AQ77</f>
        <v>261.8</v>
      </c>
      <c r="L76" s="377">
        <v>251.3</v>
      </c>
      <c r="M76" s="379">
        <v>283.7</v>
      </c>
      <c r="N76" s="379">
        <v>303.3</v>
      </c>
      <c r="O76" s="379">
        <v>325.10000000000002</v>
      </c>
      <c r="P76" s="380">
        <v>380.5</v>
      </c>
      <c r="Q76" s="380">
        <v>370.2</v>
      </c>
    </row>
    <row r="77" spans="1:17" ht="14">
      <c r="A77" s="382" t="s">
        <v>53</v>
      </c>
      <c r="B77" s="196">
        <f t="shared" ref="B77:G77" si="34">+B76+B75</f>
        <v>2316.4</v>
      </c>
      <c r="C77" s="172">
        <f t="shared" si="34"/>
        <v>2558.2999999999997</v>
      </c>
      <c r="D77" s="172">
        <f t="shared" si="34"/>
        <v>2113.5</v>
      </c>
      <c r="E77" s="196">
        <f t="shared" si="34"/>
        <v>2412.1999999999998</v>
      </c>
      <c r="F77" s="362">
        <f t="shared" si="34"/>
        <v>2021.3000000000002</v>
      </c>
      <c r="G77" s="172">
        <f t="shared" si="34"/>
        <v>2241.4</v>
      </c>
      <c r="H77" s="172">
        <f>+H76+H75</f>
        <v>1892</v>
      </c>
      <c r="I77" s="172">
        <f>+I76+I75</f>
        <v>1218.2</v>
      </c>
      <c r="J77" s="172">
        <f>+J76+J75</f>
        <v>1726.6999999999998</v>
      </c>
      <c r="K77" s="172">
        <f>+K76+K75</f>
        <v>1721.6</v>
      </c>
      <c r="L77" s="172">
        <v>1719.3</v>
      </c>
      <c r="M77" s="170">
        <v>2846.6</v>
      </c>
      <c r="N77" s="170">
        <f>N76+N75</f>
        <v>2913.6000000000004</v>
      </c>
      <c r="O77" s="170">
        <f>O76+O75</f>
        <v>2880.7999999999997</v>
      </c>
      <c r="P77" s="213">
        <f>P76+P75</f>
        <v>3463.4</v>
      </c>
      <c r="Q77" s="213">
        <v>2846.6</v>
      </c>
    </row>
    <row r="78" spans="1:17" ht="14">
      <c r="A78" s="264" t="s">
        <v>163</v>
      </c>
      <c r="B78" s="237">
        <f>+B74+B77</f>
        <v>4591</v>
      </c>
      <c r="C78" s="235">
        <f t="shared" ref="C78:M78" si="35">+C74+C77</f>
        <v>4200.8999999999996</v>
      </c>
      <c r="D78" s="235">
        <f t="shared" si="35"/>
        <v>4149.8999999999996</v>
      </c>
      <c r="E78" s="237">
        <f t="shared" si="35"/>
        <v>4323.2999999999993</v>
      </c>
      <c r="F78" s="239">
        <f t="shared" si="35"/>
        <v>4243.6000000000004</v>
      </c>
      <c r="G78" s="235">
        <f t="shared" si="35"/>
        <v>4307.5</v>
      </c>
      <c r="H78" s="235">
        <f t="shared" si="35"/>
        <v>4087.9</v>
      </c>
      <c r="I78" s="235">
        <f t="shared" si="35"/>
        <v>3709.1000000000004</v>
      </c>
      <c r="J78" s="235">
        <f t="shared" si="35"/>
        <v>3694.7999999999997</v>
      </c>
      <c r="K78" s="235">
        <f t="shared" si="35"/>
        <v>3618</v>
      </c>
      <c r="L78" s="235">
        <f t="shared" si="35"/>
        <v>3737.9</v>
      </c>
      <c r="M78" s="235">
        <f t="shared" si="35"/>
        <v>5513.7999999999993</v>
      </c>
      <c r="N78" s="235">
        <f>+N74+N77</f>
        <v>4939.8</v>
      </c>
      <c r="O78" s="235">
        <f>+O74+O77</f>
        <v>5397.1999999999989</v>
      </c>
      <c r="P78" s="239">
        <f>+P74+P77</f>
        <v>6470.1</v>
      </c>
      <c r="Q78" s="239">
        <v>6692.9</v>
      </c>
    </row>
    <row r="79" spans="1:17" ht="4.5" customHeight="1">
      <c r="A79" s="382"/>
      <c r="B79" s="376"/>
      <c r="C79" s="377"/>
      <c r="D79" s="377"/>
      <c r="E79" s="376"/>
      <c r="F79" s="378"/>
      <c r="G79" s="377"/>
      <c r="H79" s="377"/>
      <c r="I79" s="377"/>
      <c r="J79" s="377"/>
      <c r="K79" s="377"/>
      <c r="L79" s="377"/>
      <c r="M79" s="379"/>
      <c r="N79" s="379"/>
      <c r="O79" s="379"/>
      <c r="P79" s="380"/>
      <c r="Q79" s="380"/>
    </row>
    <row r="80" spans="1:17" ht="14">
      <c r="A80" s="264" t="s">
        <v>54</v>
      </c>
      <c r="B80" s="237">
        <v>2930.8</v>
      </c>
      <c r="C80" s="235">
        <v>2595.9</v>
      </c>
      <c r="D80" s="235">
        <v>3060.8</v>
      </c>
      <c r="E80" s="237">
        <f>'Interim Financial Statements'!N81</f>
        <v>2920.2</v>
      </c>
      <c r="F80" s="239">
        <f>'Interim Financial Statements'!Y81</f>
        <v>3006.5000000000005</v>
      </c>
      <c r="G80" s="235">
        <f>'Interim Financial Statements'!AE81</f>
        <v>2967.3</v>
      </c>
      <c r="H80" s="235">
        <f>'Interim Financial Statements'!AK81</f>
        <v>2791.1</v>
      </c>
      <c r="I80" s="235">
        <f>'Interim Financial Statements'!AM81</f>
        <v>2824.1</v>
      </c>
      <c r="J80" s="235">
        <f>'Interim Financial Statements'!AO81</f>
        <v>2870.1</v>
      </c>
      <c r="K80" s="235">
        <f>'Interim Financial Statements'!AQ81</f>
        <v>3012.2</v>
      </c>
      <c r="L80" s="235">
        <v>3116.4</v>
      </c>
      <c r="M80" s="235">
        <v>2700.2</v>
      </c>
      <c r="N80" s="235">
        <v>2633.3</v>
      </c>
      <c r="O80" s="235">
        <v>3117.1</v>
      </c>
      <c r="P80" s="239">
        <v>3385.6000000000004</v>
      </c>
      <c r="Q80" s="239">
        <v>3186.7</v>
      </c>
    </row>
    <row r="81" spans="1:17" ht="4.5" customHeight="1">
      <c r="A81" s="382"/>
      <c r="B81" s="376"/>
      <c r="C81" s="377"/>
      <c r="D81" s="377"/>
      <c r="E81" s="376"/>
      <c r="F81" s="378"/>
      <c r="G81" s="377"/>
      <c r="H81" s="377"/>
      <c r="I81" s="377"/>
      <c r="J81" s="377"/>
      <c r="K81" s="377"/>
      <c r="L81" s="377"/>
      <c r="M81" s="379"/>
      <c r="N81" s="379"/>
      <c r="O81" s="379"/>
      <c r="P81" s="380"/>
      <c r="Q81" s="380"/>
    </row>
    <row r="82" spans="1:17" ht="14.5" thickBot="1">
      <c r="A82" s="266" t="s">
        <v>55</v>
      </c>
      <c r="B82" s="217">
        <f t="shared" ref="B82:L82" si="36">+B80+B77+B74</f>
        <v>7521.8000000000011</v>
      </c>
      <c r="C82" s="216">
        <f t="shared" si="36"/>
        <v>6796.7999999999993</v>
      </c>
      <c r="D82" s="216">
        <f t="shared" si="36"/>
        <v>7210.7000000000007</v>
      </c>
      <c r="E82" s="217">
        <f t="shared" si="36"/>
        <v>7243.5</v>
      </c>
      <c r="F82" s="218">
        <f t="shared" si="36"/>
        <v>7250.1000000000013</v>
      </c>
      <c r="G82" s="216">
        <f t="shared" si="36"/>
        <v>7274.8000000000011</v>
      </c>
      <c r="H82" s="216">
        <f t="shared" si="36"/>
        <v>6879</v>
      </c>
      <c r="I82" s="216">
        <f t="shared" si="36"/>
        <v>6533.2000000000007</v>
      </c>
      <c r="J82" s="216">
        <f t="shared" si="36"/>
        <v>6564.9</v>
      </c>
      <c r="K82" s="216">
        <f t="shared" si="36"/>
        <v>6630.1999999999989</v>
      </c>
      <c r="L82" s="216">
        <f t="shared" si="36"/>
        <v>6854.3</v>
      </c>
      <c r="M82" s="216">
        <v>8214</v>
      </c>
      <c r="N82" s="216">
        <f>N80+N78</f>
        <v>7573.1</v>
      </c>
      <c r="O82" s="216">
        <f>O80+O78</f>
        <v>8514.2999999999993</v>
      </c>
      <c r="P82" s="218">
        <f>P80+P78</f>
        <v>9855.7000000000007</v>
      </c>
      <c r="Q82" s="218">
        <v>9879.6</v>
      </c>
    </row>
    <row r="83" spans="1:17" ht="16.5" customHeight="1" thickBot="1">
      <c r="B83" s="3"/>
      <c r="C83" s="3"/>
      <c r="D83" s="3"/>
      <c r="E83" s="3"/>
      <c r="F83" s="3"/>
      <c r="G83" s="3"/>
      <c r="H83" s="3"/>
      <c r="I83" s="3"/>
      <c r="J83" s="3"/>
      <c r="K83" s="3"/>
      <c r="L83" s="3"/>
      <c r="M83" s="3"/>
      <c r="N83" s="3"/>
      <c r="O83" s="3"/>
      <c r="P83" s="3"/>
    </row>
    <row r="84" spans="1:17" ht="20">
      <c r="A84" s="262" t="s">
        <v>56</v>
      </c>
      <c r="B84" s="369"/>
      <c r="C84" s="370"/>
      <c r="D84" s="370"/>
      <c r="E84" s="50" t="s">
        <v>26</v>
      </c>
      <c r="F84" s="371"/>
      <c r="G84" s="372"/>
      <c r="H84" s="372"/>
      <c r="I84" s="372"/>
      <c r="J84" s="372"/>
      <c r="K84" s="372"/>
      <c r="L84" s="372"/>
      <c r="M84" s="372"/>
      <c r="N84" s="372"/>
      <c r="O84" s="372"/>
      <c r="P84" s="373"/>
      <c r="Q84" s="373"/>
    </row>
    <row r="85" spans="1:17" ht="14.5" thickBot="1">
      <c r="A85" s="263" t="s">
        <v>161</v>
      </c>
      <c r="B85" s="160">
        <v>2008</v>
      </c>
      <c r="C85" s="159">
        <v>2009</v>
      </c>
      <c r="D85" s="159">
        <v>2010</v>
      </c>
      <c r="E85" s="160" t="s">
        <v>66</v>
      </c>
      <c r="F85" s="161" t="s">
        <v>67</v>
      </c>
      <c r="G85" s="159">
        <v>2013</v>
      </c>
      <c r="H85" s="159">
        <v>2014</v>
      </c>
      <c r="I85" s="159">
        <v>2015</v>
      </c>
      <c r="J85" s="159">
        <v>2016</v>
      </c>
      <c r="K85" s="159">
        <v>2017</v>
      </c>
      <c r="L85" s="159">
        <v>2018</v>
      </c>
      <c r="M85" s="159">
        <v>2019</v>
      </c>
      <c r="N85" s="159">
        <v>2020</v>
      </c>
      <c r="O85" s="159">
        <v>2021</v>
      </c>
      <c r="P85" s="161">
        <v>2022</v>
      </c>
      <c r="Q85" s="161">
        <v>2023</v>
      </c>
    </row>
    <row r="86" spans="1:17" ht="14">
      <c r="A86" s="264" t="s">
        <v>97</v>
      </c>
      <c r="B86" s="237">
        <v>1039</v>
      </c>
      <c r="C86" s="235">
        <v>1019.3</v>
      </c>
      <c r="D86" s="235">
        <v>1051.5</v>
      </c>
      <c r="E86" s="237">
        <f>'Interim Financial Statements'!N87</f>
        <v>852.20000000000061</v>
      </c>
      <c r="F86" s="239">
        <f>'Interim Financial Statements'!Y87</f>
        <v>757.59999999999877</v>
      </c>
      <c r="G86" s="235">
        <f>'Interim Financial Statements'!AE87</f>
        <v>756.1</v>
      </c>
      <c r="H86" s="235">
        <f>'Interim Financial Statements'!AK87</f>
        <v>742.1</v>
      </c>
      <c r="I86" s="235">
        <f>'Interim Financial Statements'!AM87</f>
        <v>766.3</v>
      </c>
      <c r="J86" s="235">
        <f>'Interim Financial Statements'!AO87</f>
        <v>845.9</v>
      </c>
      <c r="K86" s="235">
        <f>'Interim Financial Statements'!AQ87</f>
        <v>927.5</v>
      </c>
      <c r="L86" s="235">
        <v>968.7</v>
      </c>
      <c r="M86" s="235">
        <v>1110.7</v>
      </c>
      <c r="N86" s="235">
        <v>1059.2</v>
      </c>
      <c r="O86" s="235">
        <v>1151.5</v>
      </c>
      <c r="P86" s="239">
        <v>1343.6</v>
      </c>
      <c r="Q86" s="239">
        <v>1487.8</v>
      </c>
    </row>
    <row r="87" spans="1:17" ht="14">
      <c r="A87" s="265" t="s">
        <v>57</v>
      </c>
      <c r="B87" s="386">
        <f>0.7-130.1+109.8</f>
        <v>-19.600000000000009</v>
      </c>
      <c r="C87" s="386">
        <v>56.7</v>
      </c>
      <c r="D87" s="386">
        <v>64.2</v>
      </c>
      <c r="E87" s="387">
        <f>'Interim Financial Statements'!N89</f>
        <v>61.3</v>
      </c>
      <c r="F87" s="388">
        <f>'Interim Financial Statements'!Y89</f>
        <v>84.100000000000009</v>
      </c>
      <c r="G87" s="386">
        <f>'Interim Financial Statements'!AE89</f>
        <v>98.500000000000014</v>
      </c>
      <c r="H87" s="386">
        <f>'Interim Financial Statements'!AK89</f>
        <v>15</v>
      </c>
      <c r="I87" s="386">
        <f>'Interim Financial Statements'!AM89</f>
        <v>43.9</v>
      </c>
      <c r="J87" s="386">
        <f>'Interim Financial Statements'!AO89</f>
        <v>12.399999999999991</v>
      </c>
      <c r="K87" s="386">
        <f>'Interim Financial Statements'!AQ89</f>
        <v>8.6999999999999993</v>
      </c>
      <c r="L87" s="230">
        <v>-45.5</v>
      </c>
      <c r="M87" s="230">
        <v>33.200000000000003</v>
      </c>
      <c r="N87" s="230">
        <v>108.3</v>
      </c>
      <c r="O87" s="230">
        <v>195.8</v>
      </c>
      <c r="P87" s="268">
        <v>126.80000000000007</v>
      </c>
      <c r="Q87" s="268">
        <v>135.69999999999999</v>
      </c>
    </row>
    <row r="88" spans="1:17" ht="14">
      <c r="A88" s="265" t="s">
        <v>166</v>
      </c>
      <c r="B88" s="386"/>
      <c r="C88" s="386"/>
      <c r="D88" s="386"/>
      <c r="E88" s="387"/>
      <c r="F88" s="388"/>
      <c r="G88" s="386"/>
      <c r="H88" s="386"/>
      <c r="I88" s="386"/>
      <c r="J88" s="386"/>
      <c r="K88" s="386"/>
      <c r="L88" s="230"/>
      <c r="M88" s="230" t="s">
        <v>102</v>
      </c>
      <c r="N88" s="230">
        <v>-21.4</v>
      </c>
      <c r="O88" s="230">
        <v>-34.4</v>
      </c>
      <c r="P88" s="268">
        <v>-41.6</v>
      </c>
      <c r="Q88" s="268">
        <v>-9.6999999999999993</v>
      </c>
    </row>
    <row r="89" spans="1:17" ht="14">
      <c r="A89" s="265" t="s">
        <v>206</v>
      </c>
      <c r="B89" s="386">
        <v>-12.3</v>
      </c>
      <c r="C89" s="386">
        <v>10.5</v>
      </c>
      <c r="D89" s="386">
        <v>13.2</v>
      </c>
      <c r="E89" s="387">
        <f>'Interim Financial Statements'!N90</f>
        <v>3.2</v>
      </c>
      <c r="F89" s="388">
        <f>'Interim Financial Statements'!Y90</f>
        <v>6.9</v>
      </c>
      <c r="G89" s="386">
        <f>'Interim Financial Statements'!AE90</f>
        <v>-13.6</v>
      </c>
      <c r="H89" s="386">
        <f>'Interim Financial Statements'!AK90</f>
        <v>-1.8</v>
      </c>
      <c r="I89" s="386">
        <f>'Interim Financial Statements'!AM90</f>
        <v>1.8</v>
      </c>
      <c r="J89" s="386">
        <f>'Interim Financial Statements'!AO90</f>
        <v>-2.9</v>
      </c>
      <c r="K89" s="386">
        <f>'Interim Financial Statements'!AQ90</f>
        <v>-4.3</v>
      </c>
      <c r="L89" s="386">
        <v>-10.199999999999999</v>
      </c>
      <c r="M89" s="386">
        <v>-6.2</v>
      </c>
      <c r="N89" s="386">
        <v>-1.4</v>
      </c>
      <c r="O89" s="386">
        <v>-28.4</v>
      </c>
      <c r="P89" s="388">
        <v>1.5</v>
      </c>
      <c r="Q89" s="388">
        <v>-1.3</v>
      </c>
    </row>
    <row r="90" spans="1:17" ht="14">
      <c r="A90" s="265" t="s">
        <v>58</v>
      </c>
      <c r="B90" s="386">
        <v>-129.80000000000001</v>
      </c>
      <c r="C90" s="386">
        <v>-89.3</v>
      </c>
      <c r="D90" s="386">
        <v>-141</v>
      </c>
      <c r="E90" s="387">
        <f>'Interim Financial Statements'!N91</f>
        <v>-88.4</v>
      </c>
      <c r="F90" s="388">
        <f>'Interim Financial Statements'!Y91</f>
        <v>-95</v>
      </c>
      <c r="G90" s="386">
        <f>'Interim Financial Statements'!AE91</f>
        <v>-56.1</v>
      </c>
      <c r="H90" s="386">
        <f>'Interim Financial Statements'!AK91</f>
        <v>-69</v>
      </c>
      <c r="I90" s="386">
        <f>'Interim Financial Statements'!AM91</f>
        <v>-72.7</v>
      </c>
      <c r="J90" s="386">
        <f>'Interim Financial Statements'!AO91</f>
        <v>-92.1</v>
      </c>
      <c r="K90" s="386">
        <f>'Interim Financial Statements'!AQ91</f>
        <v>-128.4</v>
      </c>
      <c r="L90" s="386">
        <v>-116.4</v>
      </c>
      <c r="M90" s="386">
        <v>-211.5</v>
      </c>
      <c r="N90" s="386">
        <v>-183.2</v>
      </c>
      <c r="O90" s="386">
        <v>-142.30000000000001</v>
      </c>
      <c r="P90" s="388">
        <v>-195.7</v>
      </c>
      <c r="Q90" s="388">
        <v>-225.8</v>
      </c>
    </row>
    <row r="91" spans="1:17" ht="14">
      <c r="A91" s="264" t="s">
        <v>59</v>
      </c>
      <c r="B91" s="237">
        <f t="shared" ref="B91:G91" si="37">SUM(B86:B90)</f>
        <v>877.3</v>
      </c>
      <c r="C91" s="235">
        <f t="shared" si="37"/>
        <v>997.2</v>
      </c>
      <c r="D91" s="235">
        <f t="shared" si="37"/>
        <v>987.90000000000009</v>
      </c>
      <c r="E91" s="237">
        <f t="shared" si="37"/>
        <v>828.30000000000064</v>
      </c>
      <c r="F91" s="239">
        <f t="shared" si="37"/>
        <v>753.59999999999877</v>
      </c>
      <c r="G91" s="235">
        <f t="shared" si="37"/>
        <v>784.9</v>
      </c>
      <c r="H91" s="235">
        <f>SUM(H86:H90)</f>
        <v>686.30000000000007</v>
      </c>
      <c r="I91" s="235">
        <f>SUM(I86:I90)</f>
        <v>739.29999999999984</v>
      </c>
      <c r="J91" s="235">
        <f>SUM(J86:J90)</f>
        <v>763.3</v>
      </c>
      <c r="K91" s="235">
        <f>SUM(K86:K90)</f>
        <v>803.50000000000011</v>
      </c>
      <c r="L91" s="235">
        <v>796.6</v>
      </c>
      <c r="M91" s="235">
        <v>926.2</v>
      </c>
      <c r="N91" s="235">
        <v>961.5</v>
      </c>
      <c r="O91" s="235">
        <f>SUM(O86:O90)</f>
        <v>1142.1999999999998</v>
      </c>
      <c r="P91" s="239">
        <f>SUM(P86:P90)</f>
        <v>1234.6000000000001</v>
      </c>
      <c r="Q91" s="239">
        <v>1386.7</v>
      </c>
    </row>
    <row r="92" spans="1:17" ht="4.5" customHeight="1">
      <c r="A92" s="382"/>
      <c r="B92" s="376"/>
      <c r="C92" s="377"/>
      <c r="D92" s="377"/>
      <c r="E92" s="376"/>
      <c r="F92" s="378"/>
      <c r="G92" s="377"/>
      <c r="H92" s="377"/>
      <c r="I92" s="377"/>
      <c r="J92" s="377"/>
      <c r="K92" s="377"/>
      <c r="L92" s="377"/>
      <c r="M92" s="379"/>
      <c r="N92" s="379"/>
      <c r="O92" s="379"/>
      <c r="P92" s="380"/>
      <c r="Q92" s="380"/>
    </row>
    <row r="93" spans="1:17" ht="14">
      <c r="A93" s="264" t="s">
        <v>98</v>
      </c>
      <c r="B93" s="237">
        <v>-615.29999999999995</v>
      </c>
      <c r="C93" s="235">
        <v>-451</v>
      </c>
      <c r="D93" s="235">
        <v>-439.4</v>
      </c>
      <c r="E93" s="237">
        <f>'Interim Financial Statements'!N94</f>
        <v>-401.1</v>
      </c>
      <c r="F93" s="239">
        <f>'Interim Financial Statements'!Y94</f>
        <v>-412.3</v>
      </c>
      <c r="G93" s="235">
        <f>'Interim Financial Statements'!AE94</f>
        <v>-372.2</v>
      </c>
      <c r="H93" s="235">
        <f>'Interim Financial Statements'!AK94</f>
        <v>-353.6</v>
      </c>
      <c r="I93" s="235">
        <f>'Interim Financial Statements'!AM94</f>
        <v>-327.5</v>
      </c>
      <c r="J93" s="235">
        <f>'Interim Financial Statements'!AO94</f>
        <v>-332.1</v>
      </c>
      <c r="K93" s="235">
        <f>'Interim Financial Statements'!AQ94</f>
        <v>-377.6</v>
      </c>
      <c r="L93" s="235">
        <f>'Interim Financial Statements'!AS94</f>
        <v>-426.6</v>
      </c>
      <c r="M93" s="235">
        <v>-483.6</v>
      </c>
      <c r="N93" s="235">
        <v>-464.5</v>
      </c>
      <c r="O93" s="235">
        <v>-540.9</v>
      </c>
      <c r="P93" s="239">
        <v>-589.49999999999989</v>
      </c>
      <c r="Q93" s="239">
        <v>-674.9</v>
      </c>
    </row>
    <row r="94" spans="1:17" ht="4.5" customHeight="1">
      <c r="A94" s="382"/>
      <c r="B94" s="376"/>
      <c r="C94" s="377"/>
      <c r="D94" s="377"/>
      <c r="E94" s="376"/>
      <c r="F94" s="378"/>
      <c r="G94" s="377"/>
      <c r="H94" s="377"/>
      <c r="I94" s="377"/>
      <c r="J94" s="377"/>
      <c r="K94" s="377"/>
      <c r="L94" s="377"/>
      <c r="M94" s="379"/>
      <c r="N94" s="379"/>
      <c r="O94" s="379"/>
      <c r="P94" s="380"/>
      <c r="Q94" s="380"/>
    </row>
    <row r="95" spans="1:17" ht="14.5" thickBot="1">
      <c r="A95" s="266" t="s">
        <v>60</v>
      </c>
      <c r="B95" s="217">
        <f>+B91+B93</f>
        <v>262</v>
      </c>
      <c r="C95" s="216">
        <f>+C91+C93</f>
        <v>546.20000000000005</v>
      </c>
      <c r="D95" s="216">
        <f>+D91+D93</f>
        <v>548.50000000000011</v>
      </c>
      <c r="E95" s="217">
        <f>+E91+E93</f>
        <v>427.20000000000061</v>
      </c>
      <c r="F95" s="218">
        <f>'Interim Financial Statements'!Y96</f>
        <v>341.29999999999876</v>
      </c>
      <c r="G95" s="216">
        <f>'Interim Financial Statements'!AE96</f>
        <v>412.7000000000001</v>
      </c>
      <c r="H95" s="216">
        <f>'Interim Financial Statements'!AK96</f>
        <v>332.70000000000005</v>
      </c>
      <c r="I95" s="216">
        <f>'Interim Financial Statements'!AM96</f>
        <v>411.8</v>
      </c>
      <c r="J95" s="216">
        <f>'Interim Financial Statements'!AO96</f>
        <v>431.2</v>
      </c>
      <c r="K95" s="216">
        <f>'Interim Financial Statements'!AQ96</f>
        <v>425.9</v>
      </c>
      <c r="L95" s="216">
        <v>370</v>
      </c>
      <c r="M95" s="216">
        <v>442.6</v>
      </c>
      <c r="N95" s="216">
        <v>497</v>
      </c>
      <c r="O95" s="216">
        <v>601.29999999999984</v>
      </c>
      <c r="P95" s="218">
        <v>645.10000000000025</v>
      </c>
      <c r="Q95" s="218">
        <v>711.8</v>
      </c>
    </row>
    <row r="96" spans="1:17" ht="14">
      <c r="B96" s="384"/>
      <c r="C96" s="384"/>
      <c r="D96" s="384"/>
      <c r="E96" s="385"/>
      <c r="F96" s="385"/>
      <c r="G96" s="385"/>
      <c r="H96" s="385"/>
      <c r="I96" s="385"/>
      <c r="J96" s="385"/>
      <c r="K96" s="385"/>
      <c r="L96" s="385"/>
      <c r="M96" s="385"/>
      <c r="N96" s="385"/>
      <c r="O96" s="385"/>
      <c r="P96" s="385"/>
    </row>
    <row r="97" spans="1:47" ht="14">
      <c r="B97" s="9"/>
      <c r="C97" s="9"/>
      <c r="D97" s="9"/>
      <c r="E97" s="9"/>
      <c r="F97" s="9"/>
      <c r="G97" s="9"/>
      <c r="H97" s="9"/>
      <c r="I97" s="9"/>
      <c r="J97" s="9"/>
      <c r="K97" s="9"/>
      <c r="L97" s="9"/>
      <c r="M97" s="9"/>
      <c r="N97" s="9"/>
      <c r="O97" s="9"/>
      <c r="P97" s="9"/>
    </row>
    <row r="98" spans="1:47" ht="14">
      <c r="A98" s="15" t="s">
        <v>62</v>
      </c>
      <c r="B98" s="15"/>
      <c r="C98" s="15"/>
      <c r="D98" s="15"/>
      <c r="E98" s="15"/>
      <c r="F98" s="15"/>
      <c r="G98" s="6"/>
      <c r="H98" s="6"/>
      <c r="I98" s="6"/>
      <c r="J98" s="6"/>
      <c r="K98" s="6"/>
      <c r="L98" s="6"/>
      <c r="M98" s="6"/>
      <c r="N98" s="6"/>
      <c r="O98" s="6"/>
      <c r="P98" s="6"/>
      <c r="Q98" s="6"/>
      <c r="R98" s="477"/>
      <c r="S98" s="475"/>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row>
    <row r="99" spans="1:47" ht="29.25" customHeight="1">
      <c r="A99" s="518" t="s">
        <v>207</v>
      </c>
      <c r="B99" s="518"/>
      <c r="C99" s="518"/>
      <c r="D99" s="518"/>
      <c r="E99" s="518"/>
      <c r="F99" s="518"/>
      <c r="G99" s="518"/>
      <c r="H99" s="518"/>
      <c r="I99" s="518"/>
      <c r="J99" s="518"/>
      <c r="K99" s="518"/>
      <c r="L99" s="518"/>
      <c r="M99" s="518"/>
      <c r="N99" s="166"/>
      <c r="O99" s="166"/>
      <c r="P99" s="166"/>
      <c r="Q99" s="166"/>
      <c r="R99" s="480"/>
      <c r="S99" s="481"/>
      <c r="T99" s="166"/>
      <c r="U99" s="166"/>
      <c r="V99" s="166"/>
      <c r="W99" s="166"/>
      <c r="X99" s="166"/>
      <c r="Y99" s="166"/>
      <c r="Z99" s="166"/>
      <c r="AA99" s="166"/>
      <c r="AB99" s="166"/>
      <c r="AC99" s="166"/>
      <c r="AD99" s="166"/>
      <c r="AE99" s="166"/>
      <c r="AF99" s="166"/>
      <c r="AG99" s="166"/>
      <c r="AH99" s="166"/>
      <c r="AI99" s="166"/>
      <c r="AJ99" s="166"/>
      <c r="AK99" s="166"/>
      <c r="AL99" s="166"/>
      <c r="AM99" s="166"/>
      <c r="AN99" s="166"/>
      <c r="AO99" s="166"/>
      <c r="AP99" s="166"/>
      <c r="AQ99" s="166"/>
      <c r="AR99" s="166"/>
      <c r="AS99" s="166"/>
      <c r="AT99" s="166"/>
      <c r="AU99" s="166"/>
    </row>
    <row r="100" spans="1:47">
      <c r="A100" s="518" t="s">
        <v>128</v>
      </c>
      <c r="B100" s="518"/>
      <c r="C100" s="518"/>
      <c r="D100" s="518"/>
      <c r="E100" s="518"/>
      <c r="F100" s="518"/>
      <c r="G100" s="518"/>
      <c r="H100" s="518"/>
      <c r="I100" s="518"/>
      <c r="J100" s="518"/>
      <c r="K100" s="518"/>
      <c r="L100" s="518"/>
      <c r="M100" s="518"/>
      <c r="N100" s="166"/>
      <c r="O100" s="166"/>
      <c r="P100" s="166"/>
      <c r="Q100" s="166"/>
      <c r="R100" s="480"/>
      <c r="S100" s="481"/>
      <c r="T100" s="166"/>
      <c r="U100" s="166"/>
      <c r="V100" s="166"/>
      <c r="W100" s="166"/>
      <c r="X100" s="166"/>
      <c r="Y100" s="166"/>
      <c r="Z100" s="166"/>
      <c r="AA100" s="166"/>
      <c r="AB100" s="166"/>
      <c r="AC100" s="166"/>
      <c r="AD100" s="166"/>
      <c r="AE100" s="166"/>
      <c r="AF100" s="166"/>
      <c r="AG100" s="166"/>
      <c r="AH100" s="166"/>
      <c r="AI100" s="166"/>
      <c r="AJ100" s="166"/>
      <c r="AK100" s="166"/>
      <c r="AL100" s="166"/>
      <c r="AM100" s="166"/>
      <c r="AN100" s="166"/>
      <c r="AO100" s="166"/>
      <c r="AP100" s="166"/>
      <c r="AQ100" s="166"/>
      <c r="AR100" s="166"/>
      <c r="AS100" s="166"/>
      <c r="AT100" s="166"/>
      <c r="AU100" s="166"/>
    </row>
    <row r="101" spans="1:47" ht="17.899999999999999" customHeight="1">
      <c r="A101" s="518" t="s">
        <v>129</v>
      </c>
      <c r="B101" s="518"/>
      <c r="C101" s="518"/>
      <c r="D101" s="518"/>
      <c r="E101" s="518"/>
      <c r="F101" s="518"/>
      <c r="G101" s="518"/>
      <c r="H101" s="518"/>
      <c r="I101" s="518"/>
      <c r="J101" s="518"/>
      <c r="K101" s="518"/>
      <c r="L101" s="518"/>
      <c r="M101" s="518"/>
      <c r="N101" s="166"/>
      <c r="O101" s="166"/>
      <c r="P101" s="166"/>
      <c r="Q101" s="166"/>
      <c r="R101" s="480"/>
      <c r="S101" s="481"/>
      <c r="T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166"/>
      <c r="AP101" s="166"/>
      <c r="AQ101" s="166"/>
      <c r="AR101" s="166"/>
      <c r="AS101" s="166"/>
      <c r="AT101" s="166"/>
      <c r="AU101" s="166"/>
    </row>
    <row r="102" spans="1:47" ht="26.9" customHeight="1">
      <c r="A102" s="519" t="s">
        <v>99</v>
      </c>
      <c r="B102" s="519"/>
      <c r="C102" s="519"/>
      <c r="D102" s="519"/>
      <c r="E102" s="519"/>
      <c r="F102" s="519"/>
      <c r="G102" s="519"/>
      <c r="H102" s="519"/>
      <c r="I102" s="519"/>
      <c r="J102" s="519"/>
      <c r="K102" s="519"/>
      <c r="L102" s="519"/>
      <c r="M102" s="519"/>
      <c r="N102" s="389"/>
      <c r="O102" s="389"/>
      <c r="P102" s="389"/>
      <c r="Q102" s="389"/>
      <c r="R102" s="482"/>
      <c r="S102" s="483"/>
      <c r="T102" s="389"/>
      <c r="U102" s="389"/>
      <c r="V102" s="389"/>
      <c r="W102" s="389"/>
      <c r="X102" s="389"/>
      <c r="Y102" s="389"/>
      <c r="Z102" s="389"/>
      <c r="AA102" s="389"/>
      <c r="AB102" s="389"/>
      <c r="AC102" s="389"/>
      <c r="AD102" s="389"/>
      <c r="AE102" s="389"/>
      <c r="AF102" s="389"/>
      <c r="AG102" s="389"/>
      <c r="AH102" s="389"/>
      <c r="AI102" s="389"/>
      <c r="AJ102" s="389"/>
      <c r="AK102" s="389"/>
      <c r="AL102" s="389"/>
      <c r="AM102" s="389"/>
      <c r="AN102" s="389"/>
      <c r="AO102" s="389"/>
      <c r="AP102" s="389"/>
      <c r="AQ102" s="389"/>
      <c r="AR102" s="389"/>
      <c r="AS102" s="389"/>
      <c r="AT102" s="389"/>
      <c r="AU102" s="389"/>
    </row>
    <row r="103" spans="1:47" ht="28.4" customHeight="1">
      <c r="A103" s="516" t="s">
        <v>200</v>
      </c>
      <c r="B103" s="516"/>
      <c r="C103" s="516"/>
      <c r="D103" s="516"/>
      <c r="E103" s="516"/>
      <c r="F103" s="516"/>
      <c r="G103" s="516"/>
      <c r="H103" s="516"/>
      <c r="I103" s="516"/>
      <c r="J103" s="516"/>
      <c r="K103" s="516"/>
      <c r="L103" s="516"/>
      <c r="M103" s="516"/>
      <c r="N103" s="165"/>
      <c r="O103" s="165"/>
      <c r="P103" s="165"/>
      <c r="Q103" s="165"/>
      <c r="R103" s="484"/>
      <c r="S103" s="485"/>
      <c r="T103" s="165"/>
      <c r="U103" s="165"/>
      <c r="V103" s="165"/>
      <c r="W103" s="165"/>
      <c r="X103" s="165"/>
      <c r="Y103" s="165"/>
      <c r="Z103" s="165"/>
      <c r="AA103" s="165"/>
      <c r="AB103" s="165"/>
      <c r="AC103" s="165"/>
      <c r="AD103" s="165"/>
      <c r="AE103" s="165"/>
      <c r="AF103" s="165"/>
      <c r="AG103" s="165"/>
      <c r="AH103" s="165"/>
      <c r="AI103" s="165"/>
      <c r="AJ103" s="165"/>
      <c r="AK103" s="165"/>
      <c r="AL103" s="165"/>
      <c r="AM103" s="165"/>
      <c r="AN103" s="165"/>
      <c r="AO103" s="165"/>
      <c r="AP103" s="165"/>
      <c r="AQ103" s="165"/>
      <c r="AR103" s="165"/>
      <c r="AS103" s="165"/>
      <c r="AT103" s="165"/>
      <c r="AU103" s="165"/>
    </row>
    <row r="104" spans="1:47" ht="27" customHeight="1">
      <c r="A104" s="516" t="s">
        <v>101</v>
      </c>
      <c r="B104" s="516"/>
      <c r="C104" s="516"/>
      <c r="D104" s="516"/>
      <c r="E104" s="516"/>
      <c r="F104" s="516"/>
      <c r="G104" s="516"/>
      <c r="H104" s="516"/>
      <c r="I104" s="516"/>
      <c r="J104" s="516"/>
      <c r="K104" s="516"/>
      <c r="L104" s="516"/>
      <c r="M104" s="516"/>
      <c r="N104" s="165"/>
      <c r="O104" s="165"/>
      <c r="P104" s="165"/>
      <c r="Q104" s="165"/>
      <c r="R104" s="484"/>
      <c r="S104" s="485"/>
      <c r="T104" s="165"/>
      <c r="U104" s="165"/>
      <c r="V104" s="165"/>
      <c r="W104" s="165"/>
      <c r="X104" s="165"/>
      <c r="Y104" s="165"/>
      <c r="Z104" s="165"/>
      <c r="AA104" s="165"/>
      <c r="AB104" s="165"/>
      <c r="AC104" s="165"/>
      <c r="AD104" s="165"/>
      <c r="AE104" s="165"/>
      <c r="AF104" s="165"/>
      <c r="AG104" s="165"/>
      <c r="AH104" s="165"/>
      <c r="AI104" s="165"/>
      <c r="AJ104" s="165"/>
      <c r="AK104" s="165"/>
      <c r="AL104" s="165"/>
      <c r="AM104" s="165"/>
      <c r="AN104" s="165"/>
      <c r="AO104" s="165"/>
      <c r="AP104" s="165"/>
      <c r="AQ104" s="165"/>
      <c r="AR104" s="165"/>
      <c r="AS104" s="165"/>
      <c r="AT104" s="165"/>
      <c r="AU104" s="165"/>
    </row>
    <row r="105" spans="1:47" ht="13.5" customHeight="1">
      <c r="A105" s="517"/>
      <c r="B105" s="517"/>
      <c r="C105" s="517"/>
      <c r="D105" s="517"/>
      <c r="E105" s="517"/>
      <c r="F105" s="517"/>
      <c r="G105" s="517"/>
      <c r="H105" s="517"/>
      <c r="I105" s="2"/>
      <c r="J105" s="2"/>
      <c r="K105" s="2"/>
      <c r="L105" s="2"/>
      <c r="M105" s="2"/>
      <c r="N105" s="2"/>
      <c r="O105" s="2"/>
      <c r="P105" s="2"/>
    </row>
    <row r="106" spans="1:47">
      <c r="A106" s="517"/>
      <c r="B106" s="517"/>
      <c r="C106" s="517"/>
      <c r="D106" s="517"/>
      <c r="E106" s="517"/>
      <c r="F106" s="517"/>
      <c r="G106" s="517"/>
      <c r="H106" s="517"/>
      <c r="I106" s="2"/>
      <c r="J106" s="2"/>
      <c r="K106" s="2"/>
      <c r="L106" s="2"/>
      <c r="M106" s="2"/>
      <c r="N106" s="2"/>
      <c r="O106" s="2"/>
      <c r="P106" s="2"/>
    </row>
    <row r="107" spans="1:47">
      <c r="A107" s="517"/>
      <c r="B107" s="517"/>
      <c r="C107" s="517"/>
      <c r="D107" s="517"/>
      <c r="E107" s="517"/>
      <c r="F107" s="517"/>
      <c r="G107" s="517"/>
      <c r="H107" s="517"/>
      <c r="I107" s="2"/>
      <c r="J107" s="2"/>
      <c r="K107" s="2"/>
      <c r="L107" s="2"/>
      <c r="M107" s="2"/>
      <c r="N107" s="2"/>
      <c r="O107" s="2"/>
      <c r="P107" s="2"/>
    </row>
    <row r="108" spans="1:47">
      <c r="A108" s="517"/>
      <c r="B108" s="517"/>
      <c r="C108" s="517"/>
      <c r="D108" s="517"/>
      <c r="E108" s="517"/>
      <c r="F108" s="517"/>
      <c r="G108" s="517"/>
      <c r="H108" s="517"/>
      <c r="I108" s="2"/>
      <c r="J108" s="2"/>
      <c r="K108" s="2"/>
      <c r="L108" s="2"/>
      <c r="M108" s="2"/>
      <c r="N108" s="2"/>
      <c r="O108" s="2"/>
      <c r="P108" s="2"/>
    </row>
  </sheetData>
  <dataConsolidate/>
  <mergeCells count="7">
    <mergeCell ref="A103:M103"/>
    <mergeCell ref="A104:M104"/>
    <mergeCell ref="A105:H108"/>
    <mergeCell ref="A99:M99"/>
    <mergeCell ref="A100:M100"/>
    <mergeCell ref="A101:M101"/>
    <mergeCell ref="A102:M102"/>
  </mergeCells>
  <pageMargins left="0.23622047244094491" right="0.23622047244094491" top="0.74803149606299213" bottom="0.74803149606299213" header="0.31496062992125984" footer="0.31496062992125984"/>
  <pageSetup scale="59" fitToHeight="0" orientation="portrait" r:id="rId1"/>
  <rowBreaks count="1" manualBreakCount="1">
    <brk id="59" max="16383" man="1"/>
  </rowBreaks>
  <customProperties>
    <customPr name="EpmWorksheetKeyString_GUID" r:id="rId2"/>
    <customPr name="FPMExcelClientCellBasedFunctionStatus" r:id="rId3"/>
  </customProperties>
  <ignoredErrors>
    <ignoredError sqref="E8:M13 C30:M37 E41:M61 E38:M38 C14:M27" formula="1"/>
    <ignoredError sqref="B69:E73 C91:G97" formulaRange="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BG154"/>
  <sheetViews>
    <sheetView showGridLines="0" zoomScale="70" zoomScaleNormal="70" workbookViewId="0">
      <pane xSplit="1" topLeftCell="AR1" activePane="topRight" state="frozen"/>
      <selection pane="topRight" activeCell="BD8" sqref="BD8"/>
    </sheetView>
  </sheetViews>
  <sheetFormatPr defaultColWidth="9.453125" defaultRowHeight="14" outlineLevelCol="1"/>
  <cols>
    <col min="1" max="1" width="57" style="6" bestFit="1" customWidth="1"/>
    <col min="2" max="2" width="9.453125" style="6" customWidth="1" outlineLevel="1"/>
    <col min="3" max="3" width="11.453125" style="6" customWidth="1" outlineLevel="1"/>
    <col min="4" max="5" width="10.453125" style="6" customWidth="1" outlineLevel="1"/>
    <col min="6" max="6" width="9.54296875" style="6" customWidth="1" outlineLevel="1"/>
    <col min="7" max="7" width="10.453125" style="6" customWidth="1" outlineLevel="1"/>
    <col min="8" max="8" width="9.54296875" style="12" customWidth="1" outlineLevel="1"/>
    <col min="9" max="12" width="10.453125" style="12" customWidth="1" outlineLevel="1"/>
    <col min="13" max="13" width="9.54296875" style="12" customWidth="1" outlineLevel="1"/>
    <col min="14" max="36" width="10.453125" style="12" customWidth="1" outlineLevel="1"/>
    <col min="37" max="37" width="10.54296875" style="12" customWidth="1" outlineLevel="1"/>
    <col min="38" max="38" width="10.453125" style="12" customWidth="1" outlineLevel="1" collapsed="1"/>
    <col min="39" max="39" width="11.54296875" style="12" customWidth="1" outlineLevel="1"/>
    <col min="40" max="40" width="10.453125" style="12" customWidth="1" outlineLevel="1"/>
    <col min="41" max="41" width="11.54296875" style="12" customWidth="1" outlineLevel="1"/>
    <col min="42" max="43" width="12.08984375" style="12" customWidth="1" outlineLevel="1"/>
    <col min="44" max="45" width="11.6328125" style="12" customWidth="1" outlineLevel="1"/>
    <col min="46" max="46" width="11.6328125" style="12" customWidth="1" outlineLevel="1" collapsed="1"/>
    <col min="47" max="47" width="12.08984375" style="12" customWidth="1" outlineLevel="1"/>
    <col min="48" max="48" width="11.6328125" style="12" bestFit="1" customWidth="1"/>
    <col min="49" max="51" width="12.08984375" style="12" bestFit="1" customWidth="1"/>
    <col min="52" max="55" width="12.08984375" style="6" bestFit="1" customWidth="1"/>
    <col min="56" max="56" width="12.08984375" style="6" customWidth="1"/>
    <col min="57" max="57" width="8.36328125" style="6" customWidth="1"/>
    <col min="58" max="58" width="44" style="6" bestFit="1" customWidth="1"/>
    <col min="59" max="16384" width="9.453125" style="6"/>
  </cols>
  <sheetData>
    <row r="1" spans="1:59">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row>
    <row r="2" spans="1:59" ht="19">
      <c r="A2" s="47" t="s">
        <v>160</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row>
    <row r="3" spans="1:59" ht="14.5" thickBot="1">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row>
    <row r="4" spans="1:59" s="200" customFormat="1" ht="20">
      <c r="A4" s="174" t="s">
        <v>87</v>
      </c>
      <c r="B4" s="175">
        <v>2009</v>
      </c>
      <c r="C4" s="176">
        <v>2010</v>
      </c>
      <c r="D4" s="177"/>
      <c r="E4" s="177"/>
      <c r="F4" s="177"/>
      <c r="G4" s="177"/>
      <c r="H4" s="194">
        <v>2011</v>
      </c>
      <c r="I4" s="177"/>
      <c r="J4" s="177"/>
      <c r="K4" s="177"/>
      <c r="L4" s="177"/>
      <c r="M4" s="177"/>
      <c r="N4" s="178"/>
      <c r="O4" s="194">
        <v>2012</v>
      </c>
      <c r="P4" s="177"/>
      <c r="Q4" s="177"/>
      <c r="R4" s="177"/>
      <c r="S4" s="178"/>
      <c r="T4" s="194" t="s">
        <v>67</v>
      </c>
      <c r="U4" s="177"/>
      <c r="V4" s="177"/>
      <c r="W4" s="177"/>
      <c r="X4" s="177"/>
      <c r="Y4" s="178"/>
      <c r="Z4" s="194">
        <v>2013</v>
      </c>
      <c r="AA4" s="177"/>
      <c r="AB4" s="177"/>
      <c r="AC4" s="177"/>
      <c r="AD4" s="177"/>
      <c r="AE4" s="178"/>
      <c r="AF4" s="194">
        <v>2014</v>
      </c>
      <c r="AG4" s="177"/>
      <c r="AH4" s="177"/>
      <c r="AI4" s="177"/>
      <c r="AJ4" s="177"/>
      <c r="AK4" s="178"/>
      <c r="AL4" s="194">
        <v>2015</v>
      </c>
      <c r="AM4" s="178"/>
      <c r="AN4" s="194">
        <v>2016</v>
      </c>
      <c r="AO4" s="178"/>
      <c r="AP4" s="194">
        <v>2017</v>
      </c>
      <c r="AQ4" s="178"/>
      <c r="AR4" s="194">
        <v>2018</v>
      </c>
      <c r="AS4" s="178"/>
      <c r="AT4" s="194">
        <v>2019</v>
      </c>
      <c r="AU4" s="178"/>
      <c r="AV4" s="194">
        <v>2020</v>
      </c>
      <c r="AW4" s="178"/>
      <c r="AX4" s="194">
        <v>2021</v>
      </c>
      <c r="AY4" s="178"/>
      <c r="AZ4" s="194">
        <v>2022</v>
      </c>
      <c r="BA4" s="178"/>
      <c r="BB4" s="194">
        <v>2023</v>
      </c>
      <c r="BC4" s="178"/>
      <c r="BD4" s="194">
        <v>2024</v>
      </c>
      <c r="BE4" s="178"/>
    </row>
    <row r="5" spans="1:59" s="201" customFormat="1" ht="18.649999999999999" customHeight="1" thickBot="1">
      <c r="A5" s="181" t="s">
        <v>161</v>
      </c>
      <c r="B5" s="182" t="s">
        <v>69</v>
      </c>
      <c r="C5" s="182" t="s">
        <v>70</v>
      </c>
      <c r="D5" s="183" t="s">
        <v>71</v>
      </c>
      <c r="E5" s="183" t="s">
        <v>72</v>
      </c>
      <c r="F5" s="184" t="s">
        <v>73</v>
      </c>
      <c r="G5" s="183" t="s">
        <v>74</v>
      </c>
      <c r="H5" s="195" t="s">
        <v>70</v>
      </c>
      <c r="I5" s="183" t="s">
        <v>71</v>
      </c>
      <c r="J5" s="183" t="s">
        <v>72</v>
      </c>
      <c r="K5" s="184" t="s">
        <v>73</v>
      </c>
      <c r="L5" s="184" t="s">
        <v>75</v>
      </c>
      <c r="M5" s="183" t="s">
        <v>76</v>
      </c>
      <c r="N5" s="185" t="s">
        <v>77</v>
      </c>
      <c r="O5" s="195" t="s">
        <v>70</v>
      </c>
      <c r="P5" s="183" t="s">
        <v>71</v>
      </c>
      <c r="Q5" s="183" t="s">
        <v>72</v>
      </c>
      <c r="R5" s="183" t="s">
        <v>73</v>
      </c>
      <c r="S5" s="185" t="s">
        <v>78</v>
      </c>
      <c r="T5" s="195" t="s">
        <v>79</v>
      </c>
      <c r="U5" s="183" t="s">
        <v>80</v>
      </c>
      <c r="V5" s="183" t="s">
        <v>112</v>
      </c>
      <c r="W5" s="183" t="s">
        <v>81</v>
      </c>
      <c r="X5" s="183" t="s">
        <v>76</v>
      </c>
      <c r="Y5" s="185" t="s">
        <v>82</v>
      </c>
      <c r="Z5" s="195" t="s">
        <v>79</v>
      </c>
      <c r="AA5" s="183" t="s">
        <v>80</v>
      </c>
      <c r="AB5" s="183" t="s">
        <v>112</v>
      </c>
      <c r="AC5" s="183" t="s">
        <v>81</v>
      </c>
      <c r="AD5" s="183" t="s">
        <v>76</v>
      </c>
      <c r="AE5" s="185" t="s">
        <v>108</v>
      </c>
      <c r="AF5" s="195" t="s">
        <v>70</v>
      </c>
      <c r="AG5" s="183" t="s">
        <v>71</v>
      </c>
      <c r="AH5" s="183" t="s">
        <v>111</v>
      </c>
      <c r="AI5" s="183" t="s">
        <v>72</v>
      </c>
      <c r="AJ5" s="183" t="s">
        <v>73</v>
      </c>
      <c r="AK5" s="185" t="s">
        <v>123</v>
      </c>
      <c r="AL5" s="199" t="s">
        <v>111</v>
      </c>
      <c r="AM5" s="185" t="s">
        <v>120</v>
      </c>
      <c r="AN5" s="199" t="s">
        <v>111</v>
      </c>
      <c r="AO5" s="185" t="s">
        <v>120</v>
      </c>
      <c r="AP5" s="199" t="s">
        <v>111</v>
      </c>
      <c r="AQ5" s="185" t="s">
        <v>120</v>
      </c>
      <c r="AR5" s="199" t="s">
        <v>111</v>
      </c>
      <c r="AS5" s="185" t="s">
        <v>120</v>
      </c>
      <c r="AT5" s="199" t="s">
        <v>111</v>
      </c>
      <c r="AU5" s="185" t="s">
        <v>120</v>
      </c>
      <c r="AV5" s="199" t="s">
        <v>111</v>
      </c>
      <c r="AW5" s="185" t="s">
        <v>120</v>
      </c>
      <c r="AX5" s="199" t="s">
        <v>111</v>
      </c>
      <c r="AY5" s="185" t="s">
        <v>120</v>
      </c>
      <c r="AZ5" s="199" t="s">
        <v>111</v>
      </c>
      <c r="BA5" s="185" t="s">
        <v>120</v>
      </c>
      <c r="BB5" s="199" t="s">
        <v>111</v>
      </c>
      <c r="BC5" s="185" t="s">
        <v>120</v>
      </c>
      <c r="BD5" s="199" t="s">
        <v>111</v>
      </c>
      <c r="BE5" s="185"/>
    </row>
    <row r="6" spans="1:59" s="53" customFormat="1">
      <c r="A6" s="92" t="s">
        <v>162</v>
      </c>
      <c r="B6" s="169">
        <v>2069.3000000000002</v>
      </c>
      <c r="C6" s="169">
        <v>431.1</v>
      </c>
      <c r="D6" s="170">
        <v>577.9</v>
      </c>
      <c r="E6" s="170">
        <v>610.5</v>
      </c>
      <c r="F6" s="171">
        <v>480.5</v>
      </c>
      <c r="G6" s="170">
        <f>SUM(C6:F6)</f>
        <v>2100</v>
      </c>
      <c r="H6" s="196">
        <v>433.8</v>
      </c>
      <c r="I6" s="172">
        <v>602.5</v>
      </c>
      <c r="J6" s="172">
        <v>581.70000000000005</v>
      </c>
      <c r="K6" s="173">
        <v>465.40000000000009</v>
      </c>
      <c r="L6" s="173">
        <f>SUM(H6:K6)</f>
        <v>2083.4</v>
      </c>
      <c r="M6" s="172">
        <v>466.3</v>
      </c>
      <c r="N6" s="179">
        <v>2087.4</v>
      </c>
      <c r="O6" s="196">
        <v>425.5</v>
      </c>
      <c r="P6" s="172">
        <v>585</v>
      </c>
      <c r="Q6" s="172">
        <v>594</v>
      </c>
      <c r="R6" s="172">
        <f>S6-Q6-P6-O6</f>
        <v>476.09999999999991</v>
      </c>
      <c r="S6" s="179">
        <v>2080.6</v>
      </c>
      <c r="T6" s="196">
        <v>427</v>
      </c>
      <c r="U6" s="172">
        <v>586.6</v>
      </c>
      <c r="V6" s="172">
        <f>T6+U6</f>
        <v>1013.6</v>
      </c>
      <c r="W6" s="172">
        <f>Y6-U6-T6-X6</f>
        <v>594.20000000000005</v>
      </c>
      <c r="X6" s="172">
        <v>476.89999999999992</v>
      </c>
      <c r="Y6" s="179">
        <v>2084.6999999999998</v>
      </c>
      <c r="Z6" s="196">
        <v>426.7</v>
      </c>
      <c r="AA6" s="172">
        <v>577.70000000000005</v>
      </c>
      <c r="AB6" s="172">
        <f>Z6+AA6</f>
        <v>1004.4000000000001</v>
      </c>
      <c r="AC6" s="172">
        <v>575.00000000000011</v>
      </c>
      <c r="AD6" s="172">
        <v>481.09999999999991</v>
      </c>
      <c r="AE6" s="179">
        <v>2060.5</v>
      </c>
      <c r="AF6" s="196">
        <v>409.6</v>
      </c>
      <c r="AG6" s="172">
        <f>'Quarterly Segmental Analysis'!AE12</f>
        <v>560.6</v>
      </c>
      <c r="AH6" s="172">
        <f>AF6+AG6</f>
        <v>970.2</v>
      </c>
      <c r="AI6" s="172">
        <v>547.59999999999991</v>
      </c>
      <c r="AJ6" s="172">
        <v>485.10000000000014</v>
      </c>
      <c r="AK6" s="179">
        <v>2002.9</v>
      </c>
      <c r="AL6" s="196">
        <v>1006.6</v>
      </c>
      <c r="AM6" s="179">
        <v>2055</v>
      </c>
      <c r="AN6" s="196">
        <v>1007.3</v>
      </c>
      <c r="AO6" s="179">
        <v>2057.8625537579996</v>
      </c>
      <c r="AP6" s="196">
        <v>1020.9</v>
      </c>
      <c r="AQ6" s="179">
        <v>2104.1</v>
      </c>
      <c r="AR6" s="196">
        <v>1067.4000000000001</v>
      </c>
      <c r="AS6" s="179">
        <v>2192.3000000000002</v>
      </c>
      <c r="AT6" s="196">
        <v>1090.4000000000001</v>
      </c>
      <c r="AU6" s="179">
        <v>2264.5</v>
      </c>
      <c r="AV6" s="397">
        <v>990.5</v>
      </c>
      <c r="AW6" s="179">
        <v>2135.6</v>
      </c>
      <c r="AX6" s="397">
        <v>1126.7</v>
      </c>
      <c r="AY6" s="179">
        <v>2412.6999999999998</v>
      </c>
      <c r="AZ6" s="397">
        <v>1330.2</v>
      </c>
      <c r="BA6" s="179">
        <v>2711.8</v>
      </c>
      <c r="BB6" s="397">
        <v>1383.1</v>
      </c>
      <c r="BC6" s="179">
        <v>2835.5</v>
      </c>
      <c r="BD6" s="179">
        <v>1426.7</v>
      </c>
      <c r="BE6" s="179"/>
      <c r="BF6" s="54"/>
      <c r="BG6" s="474"/>
    </row>
    <row r="7" spans="1:59" s="54" customFormat="1">
      <c r="A7" s="351" t="s">
        <v>141</v>
      </c>
      <c r="B7" s="352">
        <v>-2.1838808792247644E-2</v>
      </c>
      <c r="C7" s="352">
        <f>+C6/440.1-1</f>
        <v>-2.0449897750511203E-2</v>
      </c>
      <c r="D7" s="138">
        <f>+D6/592.6-1</f>
        <v>-2.4805939925750975E-2</v>
      </c>
      <c r="E7" s="138">
        <v>4.5999999999999999E-2</v>
      </c>
      <c r="F7" s="353">
        <f>+F6/452.3-1</f>
        <v>6.234799911563127E-2</v>
      </c>
      <c r="G7" s="138">
        <f>G6/B6-1</f>
        <v>1.483593485719803E-2</v>
      </c>
      <c r="H7" s="139">
        <f>IF(H6*C6&lt;=0,"n/a",IF((H6-C6)/C6&gt;100%,"&gt;100%",(H6-C6)/C6))</f>
        <v>6.2630480167014347E-3</v>
      </c>
      <c r="I7" s="138">
        <f>IF(I6*D6&lt;=0,"n/a",IF((I6-D6)/D6&gt;100%,"&gt;100%",(I6-D6)/D6))</f>
        <v>4.2567918324969756E-2</v>
      </c>
      <c r="J7" s="138">
        <f>IF(J6*E6&lt;=0,"n/a",IF((J6-E6)/E6&gt;100%,"&gt;100%",(J6-E6)/E6))</f>
        <v>-4.7174447174447097E-2</v>
      </c>
      <c r="K7" s="353">
        <f>IF(K6*F6&lt;=0,"n/a",IF((K6-F6)/F6&gt;100%,"&gt;100%",(K6-F6)/F6))</f>
        <v>-3.1425598335067452E-2</v>
      </c>
      <c r="L7" s="353">
        <f>IF(L6*G6&lt;=0,"n/a",IF((L6-G6)/G6&gt;100%,"&gt;100%",(L6-G6)/G6))</f>
        <v>-7.9047619047618606E-3</v>
      </c>
      <c r="M7" s="353">
        <f t="shared" ref="M7:S7" si="0">IF(M6*F6&lt;=0,"n/a",IF((M6-F6)/F6&gt;100%,"&gt;100%",(M6-F6)/F6))</f>
        <v>-2.9552549427679476E-2</v>
      </c>
      <c r="N7" s="140">
        <f t="shared" si="0"/>
        <v>-5.9999999999999568E-3</v>
      </c>
      <c r="O7" s="139">
        <f t="shared" si="0"/>
        <v>-1.9133241124942395E-2</v>
      </c>
      <c r="P7" s="138">
        <f t="shared" si="0"/>
        <v>-2.9045643153526972E-2</v>
      </c>
      <c r="Q7" s="138">
        <f t="shared" si="0"/>
        <v>2.1144920061887493E-2</v>
      </c>
      <c r="R7" s="353">
        <f t="shared" si="0"/>
        <v>2.2990975504941589E-2</v>
      </c>
      <c r="S7" s="354">
        <f t="shared" si="0"/>
        <v>-1.3439569933762993E-3</v>
      </c>
      <c r="T7" s="139" t="s">
        <v>61</v>
      </c>
      <c r="U7" s="138" t="s">
        <v>61</v>
      </c>
      <c r="V7" s="138"/>
      <c r="W7" s="138" t="s">
        <v>61</v>
      </c>
      <c r="X7" s="353">
        <f>IF(X6*M6&lt;=0,"n/a",IF((X6-M6)/M6&gt;100%,"&gt;100%",(X6-M6)/M6))</f>
        <v>2.2732146686682199E-2</v>
      </c>
      <c r="Y7" s="354">
        <f>IF(Y6*N6&lt;=0,"n/a",IF((Y6-N6)/N6&gt;100%,"&gt;100%",(Y6-N6)/N6))</f>
        <v>-1.2934751365336172E-3</v>
      </c>
      <c r="Z7" s="139">
        <f>IF(Z6*T6&lt;=0,"n/a",IF((Z6-T6)/T6&gt;100%,"&gt;100%",(Z6-T6)/T6))</f>
        <v>-7.0257611241220466E-4</v>
      </c>
      <c r="AA7" s="138">
        <f>IF(OR(((AA6-U6)/U6)&gt;=100%,((AA6-U6)/U6)&lt;=-100%),"&gt;100%",((AA6-U6)/ABS(U6)))</f>
        <v>-1.5172178656665491E-2</v>
      </c>
      <c r="AB7" s="138">
        <f>IF(OR(((AB6-V6)/V6)&gt;=100%,((AB6-V6)/V6)&lt;=-100%),"&gt;100%",((AB6-V6)/ABS(V6)))</f>
        <v>-9.0765588003156386E-3</v>
      </c>
      <c r="AC7" s="138">
        <f t="shared" ref="AC7:AI7" si="1">IF(AC6*W6&lt;=0,"n/a",IF((AC6-W6)/W6&gt;100%,"&gt;100%",(AC6-W6)/W6))</f>
        <v>-3.2312352743183996E-2</v>
      </c>
      <c r="AD7" s="353">
        <f t="shared" si="1"/>
        <v>8.8068777521492746E-3</v>
      </c>
      <c r="AE7" s="354">
        <f t="shared" si="1"/>
        <v>-1.1608384899505837E-2</v>
      </c>
      <c r="AF7" s="139">
        <f t="shared" si="1"/>
        <v>-4.0074994141082648E-2</v>
      </c>
      <c r="AG7" s="138">
        <f t="shared" si="1"/>
        <v>-2.960013848018006E-2</v>
      </c>
      <c r="AH7" s="138">
        <f t="shared" si="1"/>
        <v>-3.4050179211469578E-2</v>
      </c>
      <c r="AI7" s="138">
        <f t="shared" si="1"/>
        <v>-4.7652173913043827E-2</v>
      </c>
      <c r="AJ7" s="353">
        <f>IF(OR(((AJ6-AD6)/AD6)&gt;=100%,((AJ6-AD6)/AD6)&lt;=-100%),"&gt;100%",((AJ6-AD6)/ABS(AD6)))</f>
        <v>8.3142797755149205E-3</v>
      </c>
      <c r="AK7" s="354">
        <f>IF(OR(((AK6-AE6)/AE6)&gt;=100%,((AK6-AE6)/AE6)&lt;=-100%),"&gt;100%",((AK6-AE6)/ABS(AE6)))</f>
        <v>-2.7954380004853147E-2</v>
      </c>
      <c r="AL7" s="139">
        <f>IF(AL6*AH6&lt;=0,"n/a",IF((AL6-AH6)/AH6&gt;100%,"&gt;100%",(AL6-AH6)/AH6))</f>
        <v>3.7518037518037492E-2</v>
      </c>
      <c r="AM7" s="354">
        <f>IF(AM6*AK6&lt;=0,"n/a",IF((AM6-AK6)/AK6&gt;100%,"&gt;100%",(AM6-AK6)/AK6))</f>
        <v>2.6012282190823261E-2</v>
      </c>
      <c r="AN7" s="139">
        <f t="shared" ref="AN7:AW7" si="2">AN6/AL6-1</f>
        <v>6.9541029207220717E-4</v>
      </c>
      <c r="AO7" s="354">
        <f t="shared" si="2"/>
        <v>1.3929701985400111E-3</v>
      </c>
      <c r="AP7" s="139">
        <f t="shared" si="2"/>
        <v>1.3501439491710565E-2</v>
      </c>
      <c r="AQ7" s="354">
        <f t="shared" si="2"/>
        <v>2.2468675644815583E-2</v>
      </c>
      <c r="AR7" s="139">
        <f t="shared" si="2"/>
        <v>4.5548045841904417E-2</v>
      </c>
      <c r="AS7" s="354">
        <f t="shared" si="2"/>
        <v>4.1918159783280284E-2</v>
      </c>
      <c r="AT7" s="139">
        <f t="shared" si="2"/>
        <v>2.1547685965898511E-2</v>
      </c>
      <c r="AU7" s="354">
        <f t="shared" si="2"/>
        <v>3.2933448889294281E-2</v>
      </c>
      <c r="AV7" s="398">
        <f t="shared" si="2"/>
        <v>-9.161775495231117E-2</v>
      </c>
      <c r="AW7" s="354">
        <f t="shared" si="2"/>
        <v>-5.6922057849414953E-2</v>
      </c>
      <c r="AX7" s="398">
        <f t="shared" ref="AX7" si="3">AX6/AV6-1</f>
        <v>0.13750630994447244</v>
      </c>
      <c r="AY7" s="354">
        <f t="shared" ref="AY7" si="4">AY6/AW6-1</f>
        <v>0.1297527626896422</v>
      </c>
      <c r="AZ7" s="398">
        <v>0.18061595810774822</v>
      </c>
      <c r="BA7" s="354">
        <v>0.12396899738881761</v>
      </c>
      <c r="BB7" s="398">
        <v>0.04</v>
      </c>
      <c r="BC7" s="354">
        <v>4.5999999999999999E-2</v>
      </c>
      <c r="BD7" s="354">
        <v>3.2000000000000001E-2</v>
      </c>
      <c r="BE7" s="354"/>
      <c r="BG7" s="474"/>
    </row>
    <row r="8" spans="1:59" s="53" customFormat="1">
      <c r="A8" s="92" t="s">
        <v>107</v>
      </c>
      <c r="B8" s="169">
        <v>6543.6</v>
      </c>
      <c r="C8" s="169">
        <v>1377</v>
      </c>
      <c r="D8" s="170">
        <v>1923.1</v>
      </c>
      <c r="E8" s="170">
        <v>1998.6</v>
      </c>
      <c r="F8" s="171">
        <v>1494.9</v>
      </c>
      <c r="G8" s="170">
        <f>SUM(C8:F8)</f>
        <v>6793.6</v>
      </c>
      <c r="H8" s="196">
        <v>1416.1</v>
      </c>
      <c r="I8" s="172">
        <v>1979.6</v>
      </c>
      <c r="J8" s="172">
        <v>1929.8</v>
      </c>
      <c r="K8" s="173">
        <v>1528.8000000000002</v>
      </c>
      <c r="L8" s="173">
        <f>SUM(H8:K8)</f>
        <v>6854.3</v>
      </c>
      <c r="M8" s="172">
        <v>1524.1</v>
      </c>
      <c r="N8" s="179">
        <v>6824.3</v>
      </c>
      <c r="O8" s="196">
        <v>1436.5</v>
      </c>
      <c r="P8" s="172">
        <v>1995.6</v>
      </c>
      <c r="Q8" s="172">
        <v>2036.3</v>
      </c>
      <c r="R8" s="172">
        <f>S8-Q8-P8-O8</f>
        <v>1609.9</v>
      </c>
      <c r="S8" s="179">
        <v>7078.3</v>
      </c>
      <c r="T8" s="196">
        <v>1433.4</v>
      </c>
      <c r="U8" s="172">
        <v>1985.6999999999998</v>
      </c>
      <c r="V8" s="172">
        <f>T8+U8</f>
        <v>3419.1</v>
      </c>
      <c r="W8" s="172">
        <f>Y8-U8-T8-X8</f>
        <v>2020.7999999999993</v>
      </c>
      <c r="X8" s="172">
        <v>1604.8000000000006</v>
      </c>
      <c r="Y8" s="179">
        <v>7044.7</v>
      </c>
      <c r="Z8" s="196">
        <v>1431.9</v>
      </c>
      <c r="AA8" s="172">
        <v>1949.1999999999998</v>
      </c>
      <c r="AB8" s="172">
        <f>Z8+AA8</f>
        <v>3381.1</v>
      </c>
      <c r="AC8" s="172">
        <v>1918.2999999999997</v>
      </c>
      <c r="AD8" s="172">
        <v>1574.6000000000004</v>
      </c>
      <c r="AE8" s="179">
        <v>6874</v>
      </c>
      <c r="AF8" s="196">
        <v>1331.1</v>
      </c>
      <c r="AG8" s="172">
        <f>'Quarterly Segmental Analysis'!AE23</f>
        <v>1852</v>
      </c>
      <c r="AH8" s="172">
        <f>AF8+AG8</f>
        <v>3183.1</v>
      </c>
      <c r="AI8" s="172">
        <v>1817.1</v>
      </c>
      <c r="AJ8" s="172">
        <v>1510</v>
      </c>
      <c r="AK8" s="179">
        <v>6510.2</v>
      </c>
      <c r="AL8" s="196">
        <v>3150.9</v>
      </c>
      <c r="AM8" s="179">
        <v>6346.1</v>
      </c>
      <c r="AN8" s="196">
        <v>3043.9</v>
      </c>
      <c r="AO8" s="179">
        <v>6219.0297204000008</v>
      </c>
      <c r="AP8" s="196">
        <v>3213.4</v>
      </c>
      <c r="AQ8" s="179">
        <v>6522</v>
      </c>
      <c r="AR8" s="196">
        <v>3228.3</v>
      </c>
      <c r="AS8" s="179">
        <v>6657.1</v>
      </c>
      <c r="AT8" s="196">
        <v>3352.4</v>
      </c>
      <c r="AU8" s="179">
        <v>7026</v>
      </c>
      <c r="AV8" s="397">
        <v>2831.2</v>
      </c>
      <c r="AW8" s="179">
        <v>6131.8</v>
      </c>
      <c r="AX8" s="397">
        <v>3247.9</v>
      </c>
      <c r="AY8" s="179">
        <v>7168.4</v>
      </c>
      <c r="AZ8" s="397">
        <v>4209.8999999999996</v>
      </c>
      <c r="BA8" s="179">
        <v>9198.4</v>
      </c>
      <c r="BB8" s="397">
        <v>5021.5</v>
      </c>
      <c r="BC8" s="179">
        <v>10184</v>
      </c>
      <c r="BD8" s="179">
        <v>5175.6000000000004</v>
      </c>
      <c r="BE8" s="179"/>
      <c r="BF8" s="54"/>
      <c r="BG8" s="474"/>
    </row>
    <row r="9" spans="1:59" s="54" customFormat="1">
      <c r="A9" s="351" t="s">
        <v>141</v>
      </c>
      <c r="B9" s="352">
        <v>-6.2615497013193466E-2</v>
      </c>
      <c r="C9" s="352">
        <f>+C8/1374.3-1</f>
        <v>1.9646365422396617E-3</v>
      </c>
      <c r="D9" s="138">
        <f>+D8/1891.4-1</f>
        <v>1.6760071904409424E-2</v>
      </c>
      <c r="E9" s="138">
        <v>0.06</v>
      </c>
      <c r="F9" s="353">
        <v>7.2999999999999995E-2</v>
      </c>
      <c r="G9" s="138">
        <f>G8/B8-1</f>
        <v>3.8205269270737752E-2</v>
      </c>
      <c r="H9" s="139">
        <f>IF(H8*C8&lt;=0,"n/a",IF((H8-C8)/C8&gt;100%,"&gt;100%",(H8-C8)/C8))</f>
        <v>2.8395061728394996E-2</v>
      </c>
      <c r="I9" s="138">
        <f>IF(I8*D8&lt;=0,"n/a",IF((I8-D8)/D8&gt;100%,"&gt;100%",(I8-D8)/D8))</f>
        <v>2.9379647444230671E-2</v>
      </c>
      <c r="J9" s="138">
        <f>IF(J8*E8&lt;=0,"n/a",IF((J8-E8)/E8&gt;100%,"&gt;100%",(J8-E8)/E8))</f>
        <v>-3.4424096867807445E-2</v>
      </c>
      <c r="K9" s="353">
        <f>IF(K8*F8&lt;=0,"n/a",IF((K8-F8)/F8&gt;100%,"&gt;100%",(K8-F8)/F8))</f>
        <v>2.2677102147300881E-2</v>
      </c>
      <c r="L9" s="353">
        <f>IF(L8*G8&lt;=0,"n/a",IF((L8-G8)/G8&gt;100%,"&gt;100%",(L8-G8)/G8))</f>
        <v>8.9348798869523984E-3</v>
      </c>
      <c r="M9" s="353">
        <f t="shared" ref="M9:S9" si="5">IF(M8*F8&lt;=0,"n/a",IF((M8-F8)/F8&gt;100%,"&gt;100%",(M8-F8)/F8))</f>
        <v>1.9533079135728021E-2</v>
      </c>
      <c r="N9" s="140">
        <f t="shared" si="5"/>
        <v>4.5189590202543298E-3</v>
      </c>
      <c r="O9" s="139">
        <f t="shared" si="5"/>
        <v>1.4405762304922035E-2</v>
      </c>
      <c r="P9" s="138">
        <f t="shared" si="5"/>
        <v>8.0824408971509401E-3</v>
      </c>
      <c r="Q9" s="138">
        <f t="shared" si="5"/>
        <v>5.5187066017203856E-2</v>
      </c>
      <c r="R9" s="353">
        <f t="shared" si="5"/>
        <v>5.3048142333856553E-2</v>
      </c>
      <c r="S9" s="354">
        <f t="shared" si="5"/>
        <v>3.2680215339276071E-2</v>
      </c>
      <c r="T9" s="139" t="s">
        <v>61</v>
      </c>
      <c r="U9" s="138" t="s">
        <v>61</v>
      </c>
      <c r="V9" s="138"/>
      <c r="W9" s="138" t="s">
        <v>61</v>
      </c>
      <c r="X9" s="353">
        <f>IF(X8*M8&lt;=0,"n/a",IF((X8-M8)/M8&gt;100%,"&gt;100%",(X8-M8)/M8))</f>
        <v>5.2949281543206307E-2</v>
      </c>
      <c r="Y9" s="354">
        <f>IF(Y8*N8&lt;=0,"n/a",IF((Y8-N8)/N8&gt;100%,"&gt;100%",(Y8-N8)/N8))</f>
        <v>3.2296352739475058E-2</v>
      </c>
      <c r="Z9" s="139">
        <f>IF(Z8*T8&lt;=0,"n/a",IF((Z8-T8)/T8&gt;100%,"&gt;100%",(Z8-T8)/T8))</f>
        <v>-1.0464629552113854E-3</v>
      </c>
      <c r="AA9" s="138">
        <f>IF(OR(((AA8-U8)/U8)&gt;=100%,((AA8-U8)/U8)&lt;=-100%),"&gt;100%",((AA8-U8)/ABS(U8)))</f>
        <v>-1.8381427204512264E-2</v>
      </c>
      <c r="AB9" s="138">
        <f>IF(OR(((AB8-V8)/V8)&gt;=100%,((AB8-V8)/V8)&lt;=-100%),"&gt;100%",((AB8-V8)/ABS(V8)))</f>
        <v>-1.1114035857389373E-2</v>
      </c>
      <c r="AC9" s="138">
        <f t="shared" ref="AC9:AI9" si="6">IF(AC8*W8&lt;=0,"n/a",IF((AC8-W8)/W8&gt;100%,"&gt;100%",(AC8-W8)/W8))</f>
        <v>-5.0722486144101138E-2</v>
      </c>
      <c r="AD9" s="353">
        <f t="shared" si="6"/>
        <v>-1.8818544366899465E-2</v>
      </c>
      <c r="AE9" s="354">
        <f t="shared" si="6"/>
        <v>-2.4230982156798704E-2</v>
      </c>
      <c r="AF9" s="139">
        <f t="shared" si="6"/>
        <v>-7.0395977372721685E-2</v>
      </c>
      <c r="AG9" s="138">
        <f t="shared" si="6"/>
        <v>-4.986661194336129E-2</v>
      </c>
      <c r="AH9" s="138">
        <f t="shared" si="6"/>
        <v>-5.856082340066842E-2</v>
      </c>
      <c r="AI9" s="138">
        <f t="shared" si="6"/>
        <v>-5.2755043528123775E-2</v>
      </c>
      <c r="AJ9" s="353">
        <f>IF(OR(((AJ8-AD8)/AD8)&gt;=100%,((AJ8-AD8)/AD8)&lt;=-100%),"&gt;100%",((AJ8-AD8)/ABS(AD8)))</f>
        <v>-4.1026292391718754E-2</v>
      </c>
      <c r="AK9" s="354">
        <f>IF(OR(((AK8-AE8)/AE8)&gt;=100%,((AK8-AE8)/AE8)&lt;=-100%),"&gt;100%",((AK8-AE8)/ABS(AE8)))</f>
        <v>-5.2924061681699185E-2</v>
      </c>
      <c r="AL9" s="139">
        <f>IF(AL8*AH8&lt;=0,"n/a",IF((AL8-AH8)/AH8&gt;100%,"&gt;100%",(AL8-AH8)/AH8))</f>
        <v>-1.0115924727466878E-2</v>
      </c>
      <c r="AM9" s="354">
        <f>IF(AM8*AK8&lt;=0,"n/a",IF((AM8-AK8)/AK8&gt;100%,"&gt;100%",(AM8-AK8)/AK8))</f>
        <v>-2.5206598875610498E-2</v>
      </c>
      <c r="AN9" s="139">
        <f t="shared" ref="AN9:AW9" si="7">AN8/AL8-1</f>
        <v>-3.3958551524961078E-2</v>
      </c>
      <c r="AO9" s="354">
        <f t="shared" si="7"/>
        <v>-2.0023365468555432E-2</v>
      </c>
      <c r="AP9" s="139">
        <f t="shared" si="7"/>
        <v>5.5685140773350073E-2</v>
      </c>
      <c r="AQ9" s="354">
        <f t="shared" si="7"/>
        <v>4.871664764781225E-2</v>
      </c>
      <c r="AR9" s="139">
        <f t="shared" si="7"/>
        <v>4.6368332607207297E-3</v>
      </c>
      <c r="AS9" s="354">
        <f t="shared" si="7"/>
        <v>2.0714504753143181E-2</v>
      </c>
      <c r="AT9" s="139">
        <f t="shared" si="7"/>
        <v>3.8441284886782556E-2</v>
      </c>
      <c r="AU9" s="354">
        <f t="shared" si="7"/>
        <v>5.5414519835964571E-2</v>
      </c>
      <c r="AV9" s="398">
        <f t="shared" si="7"/>
        <v>-0.15547070755279813</v>
      </c>
      <c r="AW9" s="354">
        <f t="shared" si="7"/>
        <v>-0.12727013948192423</v>
      </c>
      <c r="AX9" s="398">
        <f t="shared" ref="AX9" si="8">AX8/AV8-1</f>
        <v>0.14718140717716888</v>
      </c>
      <c r="AY9" s="354">
        <f t="shared" ref="AY9" si="9">AY8/AW8-1</f>
        <v>0.16905313284842949</v>
      </c>
      <c r="AZ9" s="398">
        <v>0.29619138520274624</v>
      </c>
      <c r="BA9" s="354">
        <v>0.28318732213604147</v>
      </c>
      <c r="BB9" s="398">
        <v>0.193</v>
      </c>
      <c r="BC9" s="354">
        <v>0.107</v>
      </c>
      <c r="BD9" s="354">
        <v>3.1E-2</v>
      </c>
      <c r="BE9" s="354"/>
      <c r="BG9" s="474"/>
    </row>
    <row r="10" spans="1:59" s="53" customFormat="1">
      <c r="A10" s="92" t="s">
        <v>27</v>
      </c>
      <c r="B10" s="169">
        <v>-3905.5</v>
      </c>
      <c r="C10" s="169">
        <v>-841.9</v>
      </c>
      <c r="D10" s="170">
        <v>-1113.0999999999999</v>
      </c>
      <c r="E10" s="170">
        <v>-1161.0999999999999</v>
      </c>
      <c r="F10" s="171">
        <v>-932.5</v>
      </c>
      <c r="G10" s="170">
        <f>SUM(C10:F10)</f>
        <v>-4048.6</v>
      </c>
      <c r="H10" s="196">
        <v>-894.5</v>
      </c>
      <c r="I10" s="172">
        <v>-1201.4000000000001</v>
      </c>
      <c r="J10" s="172">
        <v>-1179.9000000000001</v>
      </c>
      <c r="K10" s="173">
        <v>-983</v>
      </c>
      <c r="L10" s="173">
        <f>SUM(H10:K10)</f>
        <v>-4258.8</v>
      </c>
      <c r="M10" s="172">
        <v>-980.1</v>
      </c>
      <c r="N10" s="179">
        <v>-4254.7</v>
      </c>
      <c r="O10" s="196">
        <v>-940.1</v>
      </c>
      <c r="P10" s="172">
        <v>-1255</v>
      </c>
      <c r="Q10" s="172">
        <v>-1281.2</v>
      </c>
      <c r="R10" s="172">
        <f>S10-Q10-P10-O10</f>
        <v>-1055.3000000000006</v>
      </c>
      <c r="S10" s="179">
        <v>-4531.6000000000004</v>
      </c>
      <c r="T10" s="196">
        <v>-938</v>
      </c>
      <c r="U10" s="172">
        <v>-1253.4000000000001</v>
      </c>
      <c r="V10" s="172">
        <f>T10+U10</f>
        <v>-2191.4</v>
      </c>
      <c r="W10" s="172">
        <f>Y10-U10-T10-X10</f>
        <v>-1279.4000000000001</v>
      </c>
      <c r="X10" s="172">
        <v>-1051.4000000000005</v>
      </c>
      <c r="Y10" s="179">
        <v>-4522.2000000000007</v>
      </c>
      <c r="Z10" s="196">
        <v>-951.5</v>
      </c>
      <c r="AA10" s="172">
        <v>-1235.8000000000002</v>
      </c>
      <c r="AB10" s="172">
        <f>Z10+AA10</f>
        <v>-2187.3000000000002</v>
      </c>
      <c r="AC10" s="172">
        <v>-1210.8999999999996</v>
      </c>
      <c r="AD10" s="172">
        <v>-1040.3000000000002</v>
      </c>
      <c r="AE10" s="179">
        <v>-4438.5</v>
      </c>
      <c r="AF10" s="196">
        <v>-878.9</v>
      </c>
      <c r="AG10" s="172">
        <v>-1154.5</v>
      </c>
      <c r="AH10" s="172">
        <f>AF10+AG10</f>
        <v>-2033.4</v>
      </c>
      <c r="AI10" s="172">
        <v>-1152.0999999999999</v>
      </c>
      <c r="AJ10" s="172">
        <v>-1007</v>
      </c>
      <c r="AK10" s="179">
        <v>-4192.5</v>
      </c>
      <c r="AL10" s="196">
        <v>-1999</v>
      </c>
      <c r="AM10" s="179">
        <v>-4018.7</v>
      </c>
      <c r="AN10" s="196">
        <v>-1905.2</v>
      </c>
      <c r="AO10" s="179">
        <v>-3920.2</v>
      </c>
      <c r="AP10" s="196">
        <v>-2013.5</v>
      </c>
      <c r="AQ10" s="179">
        <v>-4083</v>
      </c>
      <c r="AR10" s="196">
        <v>-2015.8</v>
      </c>
      <c r="AS10" s="179">
        <v>-4141.8</v>
      </c>
      <c r="AT10" s="196">
        <v>-2108.4</v>
      </c>
      <c r="AU10" s="179">
        <v>-4380.3999999999996</v>
      </c>
      <c r="AV10" s="397">
        <v>-1782.1</v>
      </c>
      <c r="AW10" s="179">
        <v>-3810.3</v>
      </c>
      <c r="AX10" s="397">
        <v>-2048.4</v>
      </c>
      <c r="AY10" s="179">
        <v>-4570.2</v>
      </c>
      <c r="AZ10" s="397">
        <v>-2759.7</v>
      </c>
      <c r="BA10" s="179">
        <v>-6054.2</v>
      </c>
      <c r="BB10" s="397">
        <v>-3259.9</v>
      </c>
      <c r="BC10" s="179">
        <v>-6626.6</v>
      </c>
      <c r="BD10" s="179">
        <v>-3306</v>
      </c>
      <c r="BE10" s="179"/>
      <c r="BF10" s="54"/>
      <c r="BG10" s="474"/>
    </row>
    <row r="11" spans="1:59" s="54" customFormat="1">
      <c r="A11" s="351" t="s">
        <v>141</v>
      </c>
      <c r="B11" s="352">
        <v>-6.3339409056024643E-2</v>
      </c>
      <c r="C11" s="352">
        <f>+C10/-860.9-1</f>
        <v>-2.2069926820768915E-2</v>
      </c>
      <c r="D11" s="138">
        <f>+D10/-1100.2-1</f>
        <v>1.1725140883475538E-2</v>
      </c>
      <c r="E11" s="138">
        <f>+E10/-1097-1</f>
        <v>5.8432087511394615E-2</v>
      </c>
      <c r="F11" s="353">
        <v>0.10100000000000001</v>
      </c>
      <c r="G11" s="138">
        <f>G10/B10-1</f>
        <v>3.6640635001920385E-2</v>
      </c>
      <c r="H11" s="139">
        <f>IF(H10*C10&lt;=0,"n/a",IF((H10-C10)/C10&gt;100%,"&gt;100%",(H10-C10)/C10))</f>
        <v>6.2477728946430722E-2</v>
      </c>
      <c r="I11" s="138">
        <f>IF(I10*D10&lt;=0,"n/a",IF((I10-D10)/D10&gt;100%,"&gt;100%",(I10-D10)/D10))</f>
        <v>7.9328002874854184E-2</v>
      </c>
      <c r="J11" s="138">
        <f>IF(J10*E10&lt;=0,"n/a",IF((J10-E10)/E10&gt;100%,"&gt;100%",(J10-E10)/E10))</f>
        <v>1.6191542502799229E-2</v>
      </c>
      <c r="K11" s="353">
        <f>IF(K10*F10&lt;=0,"n/a",IF((K10-F10)/F10&gt;100%,"&gt;100%",(K10-F10)/F10))</f>
        <v>5.4155495978552279E-2</v>
      </c>
      <c r="L11" s="353">
        <f>IF(L10*G10&lt;=0,"n/a",IF((L10-G10)/G10&gt;100%,"&gt;100%",(L10-G10)/G10))</f>
        <v>5.191918193943592E-2</v>
      </c>
      <c r="M11" s="353">
        <f t="shared" ref="M11:S11" si="10">IF(M10*F10&lt;=0,"n/a",IF((M10-F10)/F10&gt;100%,"&gt;100%",(M10-F10)/F10))</f>
        <v>5.1045576407506725E-2</v>
      </c>
      <c r="N11" s="140">
        <f t="shared" si="10"/>
        <v>5.090648619275797E-2</v>
      </c>
      <c r="O11" s="139">
        <f t="shared" si="10"/>
        <v>5.0978200111794325E-2</v>
      </c>
      <c r="P11" s="138">
        <f t="shared" si="10"/>
        <v>4.4614616281005416E-2</v>
      </c>
      <c r="Q11" s="138">
        <f t="shared" si="10"/>
        <v>8.5854733451987408E-2</v>
      </c>
      <c r="R11" s="353">
        <f t="shared" si="10"/>
        <v>7.3550356052899932E-2</v>
      </c>
      <c r="S11" s="354">
        <f t="shared" si="10"/>
        <v>6.4055602517141014E-2</v>
      </c>
      <c r="T11" s="139" t="s">
        <v>61</v>
      </c>
      <c r="U11" s="138" t="s">
        <v>61</v>
      </c>
      <c r="V11" s="138"/>
      <c r="W11" s="138" t="s">
        <v>61</v>
      </c>
      <c r="X11" s="353">
        <f>IF(X10*M10&lt;=0,"n/a",IF((X10-M10)/M10&gt;100%,"&gt;100%",(X10-M10)/M10))</f>
        <v>7.2747678808285407E-2</v>
      </c>
      <c r="Y11" s="354">
        <f>IF(Y10*N10&lt;=0,"n/a",IF((Y10-N10)/N10&gt;100%,"&gt;100%",(Y10-N10)/N10))</f>
        <v>6.2871647824758722E-2</v>
      </c>
      <c r="Z11" s="139">
        <f>IF(Z10*T10&lt;=0,"n/a",IF((Z10-T10)/T10&gt;100%,"&gt;100%",(Z10-T10)/T10))</f>
        <v>1.4392324093816631E-2</v>
      </c>
      <c r="AA11" s="138">
        <f>IF(OR(((AA10-U10)/U10)&gt;=100%,((AA10-U10)/U10)&lt;=-100%),"&gt;100%",((AA10-U10)/ABS(U10)))</f>
        <v>1.404180628689956E-2</v>
      </c>
      <c r="AB11" s="138">
        <f>IF(OR(((AB10-V10)/V10)&gt;=100%,((AB10-V10)/V10)&lt;=-100%),"&gt;100%",((AB10-V10)/ABS(V10)))</f>
        <v>1.8709500775759373E-3</v>
      </c>
      <c r="AC11" s="138">
        <f t="shared" ref="AC11:AI11" si="11">IF(AC10*W10&lt;=0,"n/a",IF((AC10-W10)/W10&gt;100%,"&gt;100%",(AC10-W10)/W10))</f>
        <v>-5.354072221353795E-2</v>
      </c>
      <c r="AD11" s="353">
        <f t="shared" si="11"/>
        <v>-1.0557352101959632E-2</v>
      </c>
      <c r="AE11" s="354">
        <f t="shared" si="11"/>
        <v>-1.8508690460395542E-2</v>
      </c>
      <c r="AF11" s="139">
        <f t="shared" si="11"/>
        <v>-7.6300578034682098E-2</v>
      </c>
      <c r="AG11" s="138">
        <f t="shared" si="11"/>
        <v>-6.5787344230458136E-2</v>
      </c>
      <c r="AH11" s="138">
        <f t="shared" si="11"/>
        <v>-7.036071869428065E-2</v>
      </c>
      <c r="AI11" s="138">
        <f t="shared" si="11"/>
        <v>-4.8558923115038191E-2</v>
      </c>
      <c r="AJ11" s="353">
        <f>IF(OR(((AJ10-AD10)/AD10)&gt;=100%,((AJ10-AD10)/AD10)&lt;=-100%),"&gt;100%",((AJ10-AD10)/ABS(AD10)))</f>
        <v>3.2009997116216646E-2</v>
      </c>
      <c r="AK11" s="354">
        <f>IF(OR(((AK10-AE10)/AE10)&gt;=100%,((AK10-AE10)/AE10)&lt;=-100%),"&gt;100%",((AK10-AE10)/ABS(AE10)))</f>
        <v>5.5424129773572153E-2</v>
      </c>
      <c r="AL11" s="139">
        <f>IF(AL10*AH10&lt;=0,"n/a",IF((AL10-AH10)/AH10&gt;100%,"&gt;100%",(AL10-AH10)/AH10))</f>
        <v>-1.6917478115471667E-2</v>
      </c>
      <c r="AM11" s="354">
        <f>IF(AM10*AK10&lt;=0,"n/a",IF((AM10-AK10)/AK10&gt;100%,"&gt;100%",(AM10-AK10)/AK10))</f>
        <v>-4.145497912939778E-2</v>
      </c>
      <c r="AN11" s="139">
        <f t="shared" ref="AN11:AW11" si="12">AN10/AL10-1</f>
        <v>-4.6923461730865368E-2</v>
      </c>
      <c r="AO11" s="354">
        <f t="shared" si="12"/>
        <v>-2.4510413815412968E-2</v>
      </c>
      <c r="AP11" s="139">
        <f t="shared" si="12"/>
        <v>5.6844425782070163E-2</v>
      </c>
      <c r="AQ11" s="354">
        <f t="shared" si="12"/>
        <v>4.1528493444212167E-2</v>
      </c>
      <c r="AR11" s="139">
        <f t="shared" si="12"/>
        <v>1.1422895455674986E-3</v>
      </c>
      <c r="AS11" s="354">
        <f t="shared" si="12"/>
        <v>1.4401175606171934E-2</v>
      </c>
      <c r="AT11" s="139">
        <f t="shared" si="12"/>
        <v>4.5937096934219657E-2</v>
      </c>
      <c r="AU11" s="354">
        <f t="shared" si="12"/>
        <v>5.7607803370515187E-2</v>
      </c>
      <c r="AV11" s="398">
        <f t="shared" si="12"/>
        <v>-0.15476190476190488</v>
      </c>
      <c r="AW11" s="354">
        <f t="shared" si="12"/>
        <v>-0.13014793169573546</v>
      </c>
      <c r="AX11" s="398">
        <f t="shared" ref="AX11" si="13">AX10/AV10-1</f>
        <v>0.14943044722518395</v>
      </c>
      <c r="AY11" s="354">
        <f t="shared" ref="AY11" si="14">AY10/AW10-1</f>
        <v>0.19943311550271625</v>
      </c>
      <c r="AZ11" s="398">
        <v>0.34724663151728152</v>
      </c>
      <c r="BA11" s="354">
        <v>0.32471226642160089</v>
      </c>
      <c r="BB11" s="398">
        <v>0.18099999999999999</v>
      </c>
      <c r="BC11" s="354">
        <v>9.5000000000000001E-2</v>
      </c>
      <c r="BD11" s="354">
        <v>1.4E-2</v>
      </c>
      <c r="BE11" s="354"/>
      <c r="BG11" s="474"/>
    </row>
    <row r="12" spans="1:59" s="53" customFormat="1">
      <c r="A12" s="92" t="s">
        <v>28</v>
      </c>
      <c r="B12" s="169">
        <v>-3905.5</v>
      </c>
      <c r="C12" s="169">
        <v>-841.9</v>
      </c>
      <c r="D12" s="170">
        <v>-1113.0999999999999</v>
      </c>
      <c r="E12" s="170">
        <v>-1161.0999999999999</v>
      </c>
      <c r="F12" s="171">
        <v>-932.5</v>
      </c>
      <c r="G12" s="170">
        <f>SUM(C12:F12)</f>
        <v>-4048.6</v>
      </c>
      <c r="H12" s="196">
        <v>-894.5</v>
      </c>
      <c r="I12" s="172">
        <v>-1201.4000000000001</v>
      </c>
      <c r="J12" s="172">
        <v>-1179.3</v>
      </c>
      <c r="K12" s="173">
        <v>-982.2</v>
      </c>
      <c r="L12" s="173">
        <f>SUM(H12:K12)</f>
        <v>-4257.3999999999996</v>
      </c>
      <c r="M12" s="172">
        <v>-979.3</v>
      </c>
      <c r="N12" s="179">
        <v>-4253.3168890099996</v>
      </c>
      <c r="O12" s="196">
        <v>-942.3</v>
      </c>
      <c r="P12" s="172">
        <v>-1248.5999999999999</v>
      </c>
      <c r="Q12" s="172">
        <v>-1282.4000000000001</v>
      </c>
      <c r="R12" s="172">
        <f>S12-Q12-P12-O12</f>
        <v>-1053.8000000000004</v>
      </c>
      <c r="S12" s="179">
        <f>S10+4.5</f>
        <v>-4527.1000000000004</v>
      </c>
      <c r="T12" s="196">
        <v>-940.18228073</v>
      </c>
      <c r="U12" s="172">
        <v>-1247</v>
      </c>
      <c r="V12" s="172">
        <f>T12+U12</f>
        <v>-2187.18228073</v>
      </c>
      <c r="W12" s="172">
        <f>Y12-U12-T12-X12</f>
        <v>-1280.6177192700002</v>
      </c>
      <c r="X12" s="172">
        <v>-1049.9000000000005</v>
      </c>
      <c r="Y12" s="179">
        <v>-4517.7000000000007</v>
      </c>
      <c r="Z12" s="196">
        <v>-949.18</v>
      </c>
      <c r="AA12" s="172">
        <v>-1234.0200000000002</v>
      </c>
      <c r="AB12" s="172">
        <f>Z12+AA12</f>
        <v>-2183.2000000000003</v>
      </c>
      <c r="AC12" s="172">
        <v>-1212.4999999999995</v>
      </c>
      <c r="AD12" s="172">
        <v>-1037.3000000000002</v>
      </c>
      <c r="AE12" s="179">
        <v>-4433</v>
      </c>
      <c r="AF12" s="196">
        <v>-883.3</v>
      </c>
      <c r="AG12" s="172">
        <v>-1159.2</v>
      </c>
      <c r="AH12" s="172">
        <f>AF12+AG12</f>
        <v>-2042.5</v>
      </c>
      <c r="AI12" s="172">
        <v>-1149.5999999999999</v>
      </c>
      <c r="AJ12" s="172">
        <v>-992</v>
      </c>
      <c r="AK12" s="179">
        <v>-4184.1000000000004</v>
      </c>
      <c r="AL12" s="196">
        <v>-2001.5</v>
      </c>
      <c r="AM12" s="179">
        <v>-4017.7</v>
      </c>
      <c r="AN12" s="196">
        <v>-1929.2</v>
      </c>
      <c r="AO12" s="179">
        <v>-3944.7</v>
      </c>
      <c r="AP12" s="196">
        <v>-2002</v>
      </c>
      <c r="AQ12" s="179">
        <v>-4079.5</v>
      </c>
      <c r="AR12" s="196">
        <v>-2013.2</v>
      </c>
      <c r="AS12" s="179">
        <v>-4133.8</v>
      </c>
      <c r="AT12" s="196">
        <v>-2105.3000000000002</v>
      </c>
      <c r="AU12" s="179">
        <v>-4378</v>
      </c>
      <c r="AV12" s="397">
        <v>-1777</v>
      </c>
      <c r="AW12" s="179">
        <v>-3808.7</v>
      </c>
      <c r="AX12" s="397">
        <v>-2059.6999999999998</v>
      </c>
      <c r="AY12" s="179">
        <v>-4574</v>
      </c>
      <c r="AZ12" s="397">
        <v>-2774.1</v>
      </c>
      <c r="BA12" s="179">
        <v>-6050.6</v>
      </c>
      <c r="BB12" s="397">
        <v>-3261.5</v>
      </c>
      <c r="BC12" s="179">
        <v>-6622</v>
      </c>
      <c r="BD12" s="179">
        <v>-3310.7</v>
      </c>
      <c r="BE12" s="179"/>
      <c r="BF12" s="54"/>
      <c r="BG12" s="474"/>
    </row>
    <row r="13" spans="1:59" s="54" customFormat="1">
      <c r="A13" s="351" t="s">
        <v>141</v>
      </c>
      <c r="B13" s="352">
        <v>-6.1448620590214276E-2</v>
      </c>
      <c r="C13" s="352">
        <v>-2.1999999999999999E-2</v>
      </c>
      <c r="D13" s="138">
        <v>1.2E-2</v>
      </c>
      <c r="E13" s="138">
        <v>5.8000000000000003E-2</v>
      </c>
      <c r="F13" s="353">
        <v>0.10100000000000001</v>
      </c>
      <c r="G13" s="138">
        <f>G12/B12-1</f>
        <v>3.6640635001920385E-2</v>
      </c>
      <c r="H13" s="139">
        <f>IF(H12*C12&lt;=0,"n/a",IF((H12-C12)/C12&gt;100%,"&gt;100%",(H12-C12)/C12))</f>
        <v>6.2477728946430722E-2</v>
      </c>
      <c r="I13" s="138">
        <f>IF(I12*D12&lt;=0,"n/a",IF((I12-D12)/D12&gt;100%,"&gt;100%",(I12-D12)/D12))</f>
        <v>7.9328002874854184E-2</v>
      </c>
      <c r="J13" s="138">
        <f>IF(J12*E12&lt;=0,"n/a",IF((J12-E12)/E12&gt;100%,"&gt;100%",(J12-E12)/E12))</f>
        <v>1.5674791146326798E-2</v>
      </c>
      <c r="K13" s="353">
        <f>IF(K12*F12&lt;=0,"n/a",IF((K12-F12)/F12&gt;100%,"&gt;100%",(K12-F12)/F12))</f>
        <v>5.3297587131367341E-2</v>
      </c>
      <c r="L13" s="353">
        <f>IF(L12*G12&lt;=0,"n/a",IF((L12-G12)/G12&gt;100%,"&gt;100%",(L12-G12)/G12))</f>
        <v>5.1573383391789691E-2</v>
      </c>
      <c r="M13" s="353">
        <f t="shared" ref="M13:S13" si="15">IF(M12*F12&lt;=0,"n/a",IF((M12-F12)/F12&gt;100%,"&gt;100%",(M12-F12)/F12))</f>
        <v>5.0187667560321669E-2</v>
      </c>
      <c r="N13" s="140">
        <f t="shared" si="15"/>
        <v>5.0564859213061232E-2</v>
      </c>
      <c r="O13" s="139">
        <f t="shared" si="15"/>
        <v>5.343767467859134E-2</v>
      </c>
      <c r="P13" s="138">
        <f t="shared" si="15"/>
        <v>3.9287497919094236E-2</v>
      </c>
      <c r="Q13" s="138">
        <f t="shared" si="15"/>
        <v>8.7424743491902102E-2</v>
      </c>
      <c r="R13" s="353">
        <f t="shared" si="15"/>
        <v>7.2897576868255307E-2</v>
      </c>
      <c r="S13" s="354">
        <f t="shared" si="15"/>
        <v>6.3348522572462249E-2</v>
      </c>
      <c r="T13" s="139" t="s">
        <v>61</v>
      </c>
      <c r="U13" s="138" t="s">
        <v>61</v>
      </c>
      <c r="V13" s="138"/>
      <c r="W13" s="138" t="s">
        <v>61</v>
      </c>
      <c r="X13" s="353">
        <f>IF(X12*M12&lt;=0,"n/a",IF((X12-M12)/M12&gt;100%,"&gt;100%",(X12-M12)/M12))</f>
        <v>7.2092310834269979E-2</v>
      </c>
      <c r="Y13" s="354">
        <f>IF(Y12*N12&lt;=0,"n/a",IF((Y12-N12)/N12&gt;100%,"&gt;100%",(Y12-N12)/N12))</f>
        <v>6.2159278955473928E-2</v>
      </c>
      <c r="Z13" s="139">
        <f>IF(Z12*T12&lt;=0,"n/a",IF((Z12-T12)/T12&gt;100%,"&gt;100%",(Z12-T12)/T12))</f>
        <v>9.5701859675697276E-3</v>
      </c>
      <c r="AA13" s="138">
        <f>IF(OR(((AA12-U12)/U12)&gt;=100%,((AA12-U12)/U12)&lt;=-100%),"&gt;100%",((AA12-U12)/ABS(U12)))</f>
        <v>1.0408981555733594E-2</v>
      </c>
      <c r="AB13" s="138">
        <f>IF(OR(((AB12-V12)/V12)&gt;=100%,((AB12-V12)/V12)&lt;=-100%),"&gt;100%",((AB12-V12)/ABS(V12)))</f>
        <v>1.8207356401363092E-3</v>
      </c>
      <c r="AC13" s="138">
        <f t="shared" ref="AC13:AI13" si="16">IF(AC12*W12&lt;=0,"n/a",IF((AC12-W12)/W12&gt;100%,"&gt;100%",(AC12-W12)/W12))</f>
        <v>-5.3191298421850879E-2</v>
      </c>
      <c r="AD13" s="353">
        <f t="shared" si="16"/>
        <v>-1.2001142965997101E-2</v>
      </c>
      <c r="AE13" s="354">
        <f t="shared" si="16"/>
        <v>-1.8748478207937826E-2</v>
      </c>
      <c r="AF13" s="139">
        <f t="shared" si="16"/>
        <v>-6.9407277860890446E-2</v>
      </c>
      <c r="AG13" s="138">
        <f t="shared" si="16"/>
        <v>-6.063110808576859E-2</v>
      </c>
      <c r="AH13" s="138">
        <f t="shared" si="16"/>
        <v>-6.4446683766947718E-2</v>
      </c>
      <c r="AI13" s="138">
        <f t="shared" si="16"/>
        <v>-5.1876288659793532E-2</v>
      </c>
      <c r="AJ13" s="353">
        <f>IF(OR(((AJ12-AD12)/AD12)&gt;=100%,((AJ12-AD12)/AD12)&lt;=-100%),"&gt;100%",((AJ12-AD12)/ABS(AD12)))</f>
        <v>4.3671069121758582E-2</v>
      </c>
      <c r="AK13" s="354">
        <f>IF(OR(((AK12-AE12)/AE12)&gt;=100%,((AK12-AE12)/AE12)&lt;=-100%),"&gt;100%",((AK12-AE12)/ABS(AE12)))</f>
        <v>5.6147078727723808E-2</v>
      </c>
      <c r="AL13" s="139">
        <f>IF(AL12*AH12&lt;=0,"n/a",IF((AL12-AH12)/AH12&gt;100%,"&gt;100%",(AL12-AH12)/AH12))</f>
        <v>-2.0073439412484701E-2</v>
      </c>
      <c r="AM13" s="354">
        <f>IF(AM12*AK12&lt;=0,"n/a",IF((AM12-AK12)/AK12&gt;100%,"&gt;100%",(AM12-AK12)/AK12))</f>
        <v>-3.9769603976960527E-2</v>
      </c>
      <c r="AN13" s="139">
        <f t="shared" ref="AN13:AW13" si="17">AN12/AL12-1</f>
        <v>-3.612290781913563E-2</v>
      </c>
      <c r="AO13" s="354">
        <f t="shared" si="17"/>
        <v>-1.816959952211461E-2</v>
      </c>
      <c r="AP13" s="139">
        <f t="shared" si="17"/>
        <v>3.7735849056603765E-2</v>
      </c>
      <c r="AQ13" s="354">
        <f t="shared" si="17"/>
        <v>3.417243389864888E-2</v>
      </c>
      <c r="AR13" s="139">
        <f t="shared" si="17"/>
        <v>5.5944055944057158E-3</v>
      </c>
      <c r="AS13" s="354">
        <f t="shared" si="17"/>
        <v>1.3310454712587294E-2</v>
      </c>
      <c r="AT13" s="139">
        <f t="shared" si="17"/>
        <v>4.5748062785615051E-2</v>
      </c>
      <c r="AU13" s="354">
        <f t="shared" si="17"/>
        <v>5.9073975518892929E-2</v>
      </c>
      <c r="AV13" s="398">
        <f t="shared" si="17"/>
        <v>-0.15593977105400658</v>
      </c>
      <c r="AW13" s="354">
        <f t="shared" si="17"/>
        <v>-0.13003654636820472</v>
      </c>
      <c r="AX13" s="398">
        <f t="shared" ref="AX13" si="18">AX12/AV12-1</f>
        <v>0.15908835115362963</v>
      </c>
      <c r="AY13" s="354">
        <f t="shared" ref="AY13" si="19">AY12/AW12-1</f>
        <v>0.20093470212933551</v>
      </c>
      <c r="AZ13" s="398">
        <v>0.34684662814973066</v>
      </c>
      <c r="BA13" s="354">
        <v>0.32282466112811559</v>
      </c>
      <c r="BB13" s="398">
        <v>0.17599999999999999</v>
      </c>
      <c r="BC13" s="354">
        <v>9.4E-2</v>
      </c>
      <c r="BD13" s="354">
        <v>1.4999999999999999E-2</v>
      </c>
      <c r="BE13" s="354"/>
      <c r="BG13" s="474"/>
    </row>
    <row r="14" spans="1:59" s="53" customFormat="1">
      <c r="A14" s="92" t="s">
        <v>29</v>
      </c>
      <c r="B14" s="169">
        <v>2638.1000000000004</v>
      </c>
      <c r="C14" s="169">
        <f t="shared" ref="C14:AE14" si="20">+C8+C10</f>
        <v>535.1</v>
      </c>
      <c r="D14" s="170">
        <f t="shared" si="20"/>
        <v>810</v>
      </c>
      <c r="E14" s="170">
        <f t="shared" si="20"/>
        <v>837.5</v>
      </c>
      <c r="F14" s="171">
        <f t="shared" si="20"/>
        <v>562.40000000000009</v>
      </c>
      <c r="G14" s="170">
        <f>SUM(C14:F14)</f>
        <v>2745</v>
      </c>
      <c r="H14" s="196">
        <f t="shared" si="20"/>
        <v>521.59999999999991</v>
      </c>
      <c r="I14" s="172">
        <f t="shared" si="20"/>
        <v>778.19999999999982</v>
      </c>
      <c r="J14" s="172">
        <f t="shared" si="20"/>
        <v>749.89999999999986</v>
      </c>
      <c r="K14" s="173">
        <f t="shared" si="20"/>
        <v>545.80000000000018</v>
      </c>
      <c r="L14" s="173">
        <f>SUM(H14:K14)</f>
        <v>2595.5</v>
      </c>
      <c r="M14" s="172">
        <f t="shared" si="20"/>
        <v>543.99999999999989</v>
      </c>
      <c r="N14" s="179">
        <f t="shared" si="20"/>
        <v>2569.6000000000004</v>
      </c>
      <c r="O14" s="196">
        <f t="shared" si="20"/>
        <v>496.4</v>
      </c>
      <c r="P14" s="172">
        <f t="shared" si="20"/>
        <v>740.59999999999991</v>
      </c>
      <c r="Q14" s="172">
        <f t="shared" si="20"/>
        <v>755.09999999999991</v>
      </c>
      <c r="R14" s="172">
        <f t="shared" si="20"/>
        <v>554.59999999999945</v>
      </c>
      <c r="S14" s="179">
        <f t="shared" si="20"/>
        <v>2546.6999999999998</v>
      </c>
      <c r="T14" s="196">
        <f t="shared" si="20"/>
        <v>495.40000000000009</v>
      </c>
      <c r="U14" s="172">
        <f t="shared" si="20"/>
        <v>732.29999999999973</v>
      </c>
      <c r="V14" s="172">
        <f>T14+U14</f>
        <v>1227.6999999999998</v>
      </c>
      <c r="W14" s="172">
        <f t="shared" si="20"/>
        <v>741.39999999999918</v>
      </c>
      <c r="X14" s="172">
        <f t="shared" si="20"/>
        <v>553.40000000000009</v>
      </c>
      <c r="Y14" s="179">
        <f t="shared" si="20"/>
        <v>2522.4999999999991</v>
      </c>
      <c r="Z14" s="196">
        <f t="shared" si="20"/>
        <v>480.40000000000009</v>
      </c>
      <c r="AA14" s="172">
        <f t="shared" si="20"/>
        <v>713.39999999999964</v>
      </c>
      <c r="AB14" s="172">
        <f>Z14+AA14</f>
        <v>1193.7999999999997</v>
      </c>
      <c r="AC14" s="172">
        <f t="shared" si="20"/>
        <v>707.40000000000009</v>
      </c>
      <c r="AD14" s="172">
        <f t="shared" si="20"/>
        <v>534.30000000000018</v>
      </c>
      <c r="AE14" s="179">
        <f t="shared" si="20"/>
        <v>2435.5</v>
      </c>
      <c r="AF14" s="196">
        <f>+AF8+AF10</f>
        <v>452.19999999999993</v>
      </c>
      <c r="AG14" s="172">
        <f>+AG8+AG10</f>
        <v>697.5</v>
      </c>
      <c r="AH14" s="172">
        <f>AF14+AG14</f>
        <v>1149.6999999999998</v>
      </c>
      <c r="AI14" s="172">
        <f>+AI8+AI10</f>
        <v>665</v>
      </c>
      <c r="AJ14" s="172">
        <f>+AJ8+AJ10</f>
        <v>503</v>
      </c>
      <c r="AK14" s="179">
        <f>+AK8+AK10</f>
        <v>2317.6999999999998</v>
      </c>
      <c r="AL14" s="196">
        <v>1151.9000000000001</v>
      </c>
      <c r="AM14" s="179">
        <v>2327.4</v>
      </c>
      <c r="AN14" s="196">
        <v>1138.7</v>
      </c>
      <c r="AO14" s="179">
        <v>2298.8000000000002</v>
      </c>
      <c r="AP14" s="196">
        <v>1199.9000000000001</v>
      </c>
      <c r="AQ14" s="179">
        <v>2439</v>
      </c>
      <c r="AR14" s="196">
        <v>1212.5</v>
      </c>
      <c r="AS14" s="179">
        <v>2515.3000000000002</v>
      </c>
      <c r="AT14" s="196">
        <v>1244</v>
      </c>
      <c r="AU14" s="179">
        <v>2645.6</v>
      </c>
      <c r="AV14" s="397">
        <v>1049.0999999999999</v>
      </c>
      <c r="AW14" s="179">
        <v>2321.5</v>
      </c>
      <c r="AX14" s="397">
        <v>1199.5</v>
      </c>
      <c r="AY14" s="179">
        <v>2598.1999999999998</v>
      </c>
      <c r="AZ14" s="397">
        <v>1450.1999999999998</v>
      </c>
      <c r="BA14" s="179">
        <v>3144.2</v>
      </c>
      <c r="BB14" s="397">
        <v>1761.6</v>
      </c>
      <c r="BC14" s="179">
        <v>3557.4</v>
      </c>
      <c r="BD14" s="179">
        <v>1869.6</v>
      </c>
      <c r="BE14" s="179"/>
      <c r="BF14" s="54"/>
      <c r="BG14" s="474"/>
    </row>
    <row r="15" spans="1:59" s="54" customFormat="1">
      <c r="A15" s="351" t="s">
        <v>141</v>
      </c>
      <c r="B15" s="352">
        <v>-6.1541745224289124E-2</v>
      </c>
      <c r="C15" s="352">
        <f>+C14/513.1-1</f>
        <v>4.28766322354317E-2</v>
      </c>
      <c r="D15" s="138">
        <f>+D14/791.2-1</f>
        <v>2.3761375126390316E-2</v>
      </c>
      <c r="E15" s="138">
        <f>+E14/787.8-1</f>
        <v>6.3087077938563052E-2</v>
      </c>
      <c r="F15" s="353">
        <v>0.03</v>
      </c>
      <c r="G15" s="138">
        <f>G14/B14-1</f>
        <v>4.0521587506159529E-2</v>
      </c>
      <c r="H15" s="139">
        <f>IF(H14*C14&lt;=0,"n/a",IF((H14-C14)/C14&gt;100%,"&gt;100%",(H14-C14)/C14))</f>
        <v>-2.5228929172117574E-2</v>
      </c>
      <c r="I15" s="138">
        <f>IF(I14*D14&lt;=0,"n/a",IF((I14-D14)/D14&gt;100%,"&gt;100%",(I14-D14)/D14))</f>
        <v>-3.9259259259259487E-2</v>
      </c>
      <c r="J15" s="138">
        <f>IF(J14*E14&lt;=0,"n/a",IF((J14-E14)/E14&gt;100%,"&gt;100%",(J14-E14)/E14))</f>
        <v>-0.10459701492537329</v>
      </c>
      <c r="K15" s="353">
        <f>IF(K14*F14&lt;=0,"n/a",IF((K14-F14)/F14&gt;100%,"&gt;100%",(K14-F14)/F14))</f>
        <v>-2.951635846372672E-2</v>
      </c>
      <c r="L15" s="353">
        <f>IF(L14*G14&lt;=0,"n/a",IF((L14-G14)/G14&gt;100%,"&gt;100%",(L14-G14)/G14))</f>
        <v>-5.4462659380692169E-2</v>
      </c>
      <c r="M15" s="353">
        <f t="shared" ref="M15:S15" si="21">IF(M14*F14&lt;=0,"n/a",IF((M14-F14)/F14&gt;100%,"&gt;100%",(M14-F14)/F14))</f>
        <v>-3.2716927453769917E-2</v>
      </c>
      <c r="N15" s="140">
        <f t="shared" si="21"/>
        <v>-6.3897996357012612E-2</v>
      </c>
      <c r="O15" s="139">
        <f t="shared" si="21"/>
        <v>-4.8312883435582703E-2</v>
      </c>
      <c r="P15" s="138">
        <f t="shared" si="21"/>
        <v>-4.8316628116165404E-2</v>
      </c>
      <c r="Q15" s="138">
        <f t="shared" si="21"/>
        <v>6.9342579010535357E-3</v>
      </c>
      <c r="R15" s="353">
        <f t="shared" si="21"/>
        <v>1.6123122022717606E-2</v>
      </c>
      <c r="S15" s="354">
        <f t="shared" si="21"/>
        <v>-1.8801772298208508E-2</v>
      </c>
      <c r="T15" s="139" t="s">
        <v>61</v>
      </c>
      <c r="U15" s="138" t="s">
        <v>61</v>
      </c>
      <c r="V15" s="138"/>
      <c r="W15" s="138" t="s">
        <v>61</v>
      </c>
      <c r="X15" s="353">
        <f>IF(X14*M14&lt;=0,"n/a",IF((X14-M14)/M14&gt;100%,"&gt;100%",(X14-M14)/M14))</f>
        <v>1.7279411764706262E-2</v>
      </c>
      <c r="Y15" s="354">
        <f>IF(Y14*N14&lt;=0,"n/a",IF((Y14-N14)/N14&gt;100%,"&gt;100%",(Y14-N14)/N14))</f>
        <v>-1.8329701120797504E-2</v>
      </c>
      <c r="Z15" s="139">
        <f>IF(Z14*T14&lt;=0,"n/a",IF((Z14-T14)/T14&gt;100%,"&gt;100%",(Z14-T14)/T14))</f>
        <v>-3.0278562777553485E-2</v>
      </c>
      <c r="AA15" s="138">
        <f>IF(OR(((AA14-U14)/U14)&gt;=100%,((AA14-U14)/U14)&lt;=-100%),"&gt;100%",((AA14-U14)/ABS(U14)))</f>
        <v>-2.5809094633347122E-2</v>
      </c>
      <c r="AB15" s="138">
        <f>IF(OR(((AB14-V14)/V14)&gt;=100%,((AB14-V14)/V14)&lt;=-100%),"&gt;100%",((AB14-V14)/ABS(V14)))</f>
        <v>-2.7612608943553062E-2</v>
      </c>
      <c r="AC15" s="138">
        <f t="shared" ref="AC15:AI15" si="22">IF(AC14*W14&lt;=0,"n/a",IF((AC14-W14)/W14&gt;100%,"&gt;100%",(AC14-W14)/W14))</f>
        <v>-4.5859185325059518E-2</v>
      </c>
      <c r="AD15" s="353">
        <f t="shared" si="22"/>
        <v>-3.4513913986266548E-2</v>
      </c>
      <c r="AE15" s="354">
        <f t="shared" si="22"/>
        <v>-3.4489593657085878E-2</v>
      </c>
      <c r="AF15" s="139">
        <f t="shared" si="22"/>
        <v>-5.8701082431307561E-2</v>
      </c>
      <c r="AG15" s="138">
        <f t="shared" si="22"/>
        <v>-2.2287636669469646E-2</v>
      </c>
      <c r="AH15" s="138">
        <f t="shared" si="22"/>
        <v>-3.6940861115764716E-2</v>
      </c>
      <c r="AI15" s="138">
        <f t="shared" si="22"/>
        <v>-5.9937800395815782E-2</v>
      </c>
      <c r="AJ15" s="353">
        <f>IF(OR(((AJ14-AD14)/AD14)&gt;=100%,((AJ14-AD14)/AD14)&lt;=-100%),"&gt;100%",((AJ14-AD14)/ABS(AD14)))</f>
        <v>-5.8581321355044305E-2</v>
      </c>
      <c r="AK15" s="354">
        <f>IF(OR(((AK14-AE14)/AE14)&gt;=100%,((AK14-AE14)/AE14)&lt;=-100%),"&gt;100%",((AK14-AE14)/ABS(AE14)))</f>
        <v>-4.8367891603366943E-2</v>
      </c>
      <c r="AL15" s="139">
        <f>IF(AL14*AH14&lt;=0,"n/a",IF((AL14-AH14)/AH14&gt;100%,"&gt;100%",(AL14-AH14)/AH14))</f>
        <v>1.913542663303708E-3</v>
      </c>
      <c r="AM15" s="354">
        <f>IF(AM14*AK14&lt;=0,"n/a",IF((AM14-AK14)/AK14&gt;100%,"&gt;100%",(AM14-AK14)/AK14))</f>
        <v>4.1851835871770608E-3</v>
      </c>
      <c r="AN15" s="139">
        <f t="shared" ref="AN15:AW15" si="23">AN14/AL14-1</f>
        <v>-1.1459328066672492E-2</v>
      </c>
      <c r="AO15" s="354">
        <f t="shared" si="23"/>
        <v>-1.2288390478645606E-2</v>
      </c>
      <c r="AP15" s="139">
        <f t="shared" si="23"/>
        <v>5.3745499253534668E-2</v>
      </c>
      <c r="AQ15" s="354">
        <f t="shared" si="23"/>
        <v>6.0988341743518193E-2</v>
      </c>
      <c r="AR15" s="139">
        <f t="shared" si="23"/>
        <v>1.0500875072922744E-2</v>
      </c>
      <c r="AS15" s="354">
        <f t="shared" si="23"/>
        <v>3.1283312833128463E-2</v>
      </c>
      <c r="AT15" s="139">
        <f t="shared" si="23"/>
        <v>2.5979381443298921E-2</v>
      </c>
      <c r="AU15" s="354">
        <f t="shared" si="23"/>
        <v>5.1802965849004012E-2</v>
      </c>
      <c r="AV15" s="398">
        <f t="shared" si="23"/>
        <v>-0.15667202572347272</v>
      </c>
      <c r="AW15" s="354">
        <f t="shared" si="23"/>
        <v>-0.12250529180526148</v>
      </c>
      <c r="AX15" s="398">
        <f t="shared" ref="AX15" si="24">AX14/AV14-1</f>
        <v>0.14336097607473075</v>
      </c>
      <c r="AY15" s="354">
        <f t="shared" ref="AY15" si="25">AY14/AW14-1</f>
        <v>0.11919017876373017</v>
      </c>
      <c r="AZ15" s="398">
        <v>0.2090037515631511</v>
      </c>
      <c r="BA15" s="354">
        <v>0.21014548533600186</v>
      </c>
      <c r="BB15" s="398">
        <v>0.215</v>
      </c>
      <c r="BC15" s="354">
        <v>0.13100000000000001</v>
      </c>
      <c r="BD15" s="354">
        <v>6.0999999999999999E-2</v>
      </c>
      <c r="BE15" s="354"/>
      <c r="BF15" s="53"/>
      <c r="BG15" s="474"/>
    </row>
    <row r="16" spans="1:59" s="53" customFormat="1">
      <c r="A16" s="92" t="s">
        <v>30</v>
      </c>
      <c r="B16" s="169">
        <v>2638.1000000000004</v>
      </c>
      <c r="C16" s="169">
        <f t="shared" ref="C16:AE16" si="26">+C8+C12</f>
        <v>535.1</v>
      </c>
      <c r="D16" s="170">
        <f t="shared" si="26"/>
        <v>810</v>
      </c>
      <c r="E16" s="170">
        <f t="shared" si="26"/>
        <v>837.5</v>
      </c>
      <c r="F16" s="171">
        <f t="shared" si="26"/>
        <v>562.40000000000009</v>
      </c>
      <c r="G16" s="170">
        <f>SUM(C16:F16)</f>
        <v>2745</v>
      </c>
      <c r="H16" s="196">
        <f t="shared" si="26"/>
        <v>521.59999999999991</v>
      </c>
      <c r="I16" s="172">
        <f t="shared" si="26"/>
        <v>778.19999999999982</v>
      </c>
      <c r="J16" s="172">
        <f t="shared" si="26"/>
        <v>750.5</v>
      </c>
      <c r="K16" s="173">
        <f t="shared" si="26"/>
        <v>546.60000000000014</v>
      </c>
      <c r="L16" s="173">
        <f>SUM(H16:K16)</f>
        <v>2596.8999999999996</v>
      </c>
      <c r="M16" s="172">
        <f t="shared" si="26"/>
        <v>544.79999999999995</v>
      </c>
      <c r="N16" s="179">
        <f t="shared" si="26"/>
        <v>2570.9831109900006</v>
      </c>
      <c r="O16" s="196">
        <f t="shared" si="26"/>
        <v>494.20000000000005</v>
      </c>
      <c r="P16" s="172">
        <f t="shared" si="26"/>
        <v>747</v>
      </c>
      <c r="Q16" s="172">
        <f t="shared" si="26"/>
        <v>753.89999999999986</v>
      </c>
      <c r="R16" s="172">
        <f t="shared" si="26"/>
        <v>556.09999999999968</v>
      </c>
      <c r="S16" s="179">
        <f t="shared" si="26"/>
        <v>2551.1999999999998</v>
      </c>
      <c r="T16" s="196">
        <f t="shared" si="26"/>
        <v>493.21771927000009</v>
      </c>
      <c r="U16" s="172">
        <f t="shared" si="26"/>
        <v>738.69999999999982</v>
      </c>
      <c r="V16" s="172">
        <f>T16+U16</f>
        <v>1231.9177192699999</v>
      </c>
      <c r="W16" s="172">
        <f t="shared" si="26"/>
        <v>740.18228072999909</v>
      </c>
      <c r="X16" s="172">
        <f t="shared" si="26"/>
        <v>554.90000000000009</v>
      </c>
      <c r="Y16" s="179">
        <f t="shared" si="26"/>
        <v>2526.9999999999991</v>
      </c>
      <c r="Z16" s="196">
        <f t="shared" si="26"/>
        <v>482.72000000000014</v>
      </c>
      <c r="AA16" s="172">
        <f t="shared" si="26"/>
        <v>715.17999999999961</v>
      </c>
      <c r="AB16" s="172">
        <f>Z16+AA16</f>
        <v>1197.8999999999996</v>
      </c>
      <c r="AC16" s="172">
        <f t="shared" si="26"/>
        <v>705.80000000000018</v>
      </c>
      <c r="AD16" s="172">
        <f t="shared" si="26"/>
        <v>537.30000000000018</v>
      </c>
      <c r="AE16" s="179">
        <f t="shared" si="26"/>
        <v>2441</v>
      </c>
      <c r="AF16" s="196">
        <f>+AF8+AF12</f>
        <v>447.79999999999995</v>
      </c>
      <c r="AG16" s="172">
        <f>+AG8+AG12</f>
        <v>692.8</v>
      </c>
      <c r="AH16" s="172">
        <f>AF16+AG16</f>
        <v>1140.5999999999999</v>
      </c>
      <c r="AI16" s="172">
        <f>+AI8+AI12</f>
        <v>667.5</v>
      </c>
      <c r="AJ16" s="172">
        <f>+AJ8+AJ12</f>
        <v>518</v>
      </c>
      <c r="AK16" s="179">
        <f>+AK8+AK12</f>
        <v>2326.0999999999995</v>
      </c>
      <c r="AL16" s="196">
        <v>1149.4000000000001</v>
      </c>
      <c r="AM16" s="179">
        <v>2328.4</v>
      </c>
      <c r="AN16" s="196">
        <v>1114.7</v>
      </c>
      <c r="AO16" s="179">
        <v>2274.3000000000002</v>
      </c>
      <c r="AP16" s="196">
        <v>1211.4000000000001</v>
      </c>
      <c r="AQ16" s="179">
        <v>2442.5</v>
      </c>
      <c r="AR16" s="196">
        <v>1215.0999999999999</v>
      </c>
      <c r="AS16" s="179">
        <v>2523.3000000000002</v>
      </c>
      <c r="AT16" s="196">
        <v>1247.0999999999999</v>
      </c>
      <c r="AU16" s="179">
        <v>2648</v>
      </c>
      <c r="AV16" s="397">
        <v>1054.2</v>
      </c>
      <c r="AW16" s="179">
        <v>2323.1</v>
      </c>
      <c r="AX16" s="397">
        <v>1188.2</v>
      </c>
      <c r="AY16" s="179">
        <v>2594.4</v>
      </c>
      <c r="AZ16" s="397">
        <v>1435.7999999999997</v>
      </c>
      <c r="BA16" s="179">
        <v>3147.8</v>
      </c>
      <c r="BB16" s="397">
        <v>1760</v>
      </c>
      <c r="BC16" s="179">
        <v>3562</v>
      </c>
      <c r="BD16" s="179">
        <v>1864.9</v>
      </c>
      <c r="BE16" s="179"/>
      <c r="BG16" s="474"/>
    </row>
    <row r="17" spans="1:59" s="54" customFormat="1">
      <c r="A17" s="351" t="s">
        <v>141</v>
      </c>
      <c r="B17" s="352">
        <v>-6.0806721492399074E-2</v>
      </c>
      <c r="C17" s="352">
        <f>+C16/513.4-1</f>
        <v>4.2267238021036269E-2</v>
      </c>
      <c r="D17" s="138">
        <f>+D16/791.2-1</f>
        <v>2.3761375126390316E-2</v>
      </c>
      <c r="E17" s="138">
        <v>6.3E-2</v>
      </c>
      <c r="F17" s="353">
        <v>0.03</v>
      </c>
      <c r="G17" s="138">
        <f>G16/B16-1</f>
        <v>4.0521587506159529E-2</v>
      </c>
      <c r="H17" s="139">
        <f>IF(H16*C16&lt;=0,"n/a",IF((H16-C16)/C16&gt;100%,"&gt;100%",(H16-C16)/C16))</f>
        <v>-2.5228929172117574E-2</v>
      </c>
      <c r="I17" s="138">
        <f>IF(I16*D16&lt;=0,"n/a",IF((I16-D16)/D16&gt;100%,"&gt;100%",(I16-D16)/D16))</f>
        <v>-3.9259259259259487E-2</v>
      </c>
      <c r="J17" s="138">
        <f>IF(J16*E16&lt;=0,"n/a",IF((J16-E16)/E16&gt;100%,"&gt;100%",(J16-E16)/E16))</f>
        <v>-0.10388059701492537</v>
      </c>
      <c r="K17" s="353">
        <f>IF(K16*F16&lt;=0,"n/a",IF((K16-F16)/F16&gt;100%,"&gt;100%",(K16-F16)/F16))</f>
        <v>-2.8093883357041168E-2</v>
      </c>
      <c r="L17" s="353">
        <f>IF(L16*G16&lt;=0,"n/a",IF((L16-G16)/G16&gt;100%,"&gt;100%",(L16-G16)/G16))</f>
        <v>-5.395264116575605E-2</v>
      </c>
      <c r="M17" s="353">
        <f t="shared" ref="M17:S17" si="27">IF(M16*F16&lt;=0,"n/a",IF((M16-F16)/F16&gt;100%,"&gt;100%",(M16-F16)/F16))</f>
        <v>-3.129445234708416E-2</v>
      </c>
      <c r="N17" s="140">
        <f t="shared" si="27"/>
        <v>-6.3394130786885036E-2</v>
      </c>
      <c r="O17" s="139">
        <f t="shared" si="27"/>
        <v>-5.2530674846625512E-2</v>
      </c>
      <c r="P17" s="138">
        <f t="shared" si="27"/>
        <v>-4.0092521202775414E-2</v>
      </c>
      <c r="Q17" s="138">
        <f t="shared" si="27"/>
        <v>4.5303131245834289E-3</v>
      </c>
      <c r="R17" s="353">
        <f t="shared" si="27"/>
        <v>1.7380168313208093E-2</v>
      </c>
      <c r="S17" s="354">
        <f t="shared" si="27"/>
        <v>-1.7597905194655098E-2</v>
      </c>
      <c r="T17" s="139" t="s">
        <v>61</v>
      </c>
      <c r="U17" s="138" t="s">
        <v>61</v>
      </c>
      <c r="V17" s="138"/>
      <c r="W17" s="138" t="s">
        <v>61</v>
      </c>
      <c r="X17" s="353">
        <f>IF(X16*M16&lt;=0,"n/a",IF((X16-M16)/M16&gt;100%,"&gt;100%",(X16-M16)/M16))</f>
        <v>1.8538913362702161E-2</v>
      </c>
      <c r="Y17" s="354">
        <f>IF(Y16*N16&lt;=0,"n/a",IF((Y16-N16)/N16&gt;100%,"&gt;100%",(Y16-N16)/N16))</f>
        <v>-1.7107506775128147E-2</v>
      </c>
      <c r="Z17" s="139">
        <f>IF(Z16*T16&lt;=0,"n/a",IF((Z16-T16)/T16&gt;100%,"&gt;100%",(Z16-T16)/T16))</f>
        <v>-2.128414868293332E-2</v>
      </c>
      <c r="AA17" s="138">
        <f>IF(OR(((AA16-U16)/U16)&gt;=100%,((AA16-U16)/U16)&lt;=-100%),"&gt;100%",((AA16-U16)/ABS(U16)))</f>
        <v>-3.1839718424259124E-2</v>
      </c>
      <c r="AB17" s="138">
        <f>IF(OR(((AB16-V16)/V16)&gt;=100%,((AB16-V16)/V16)&lt;=-100%),"&gt;100%",((AB16-V16)/ABS(V16)))</f>
        <v>-2.7613629334074536E-2</v>
      </c>
      <c r="AC17" s="138">
        <f t="shared" ref="AC17:AI17" si="28">IF(AC16*W16&lt;=0,"n/a",IF((AC16-W16)/W16&gt;100%,"&gt;100%",(AC16-W16)/W16))</f>
        <v>-4.6451099445517188E-2</v>
      </c>
      <c r="AD17" s="353">
        <f t="shared" si="28"/>
        <v>-3.1717426563344579E-2</v>
      </c>
      <c r="AE17" s="354">
        <f t="shared" si="28"/>
        <v>-3.4032449544914571E-2</v>
      </c>
      <c r="AF17" s="139">
        <f t="shared" si="28"/>
        <v>-7.2340072920119694E-2</v>
      </c>
      <c r="AG17" s="138">
        <f t="shared" si="28"/>
        <v>-3.1292821387622231E-2</v>
      </c>
      <c r="AH17" s="138">
        <f t="shared" si="28"/>
        <v>-4.7833708990733574E-2</v>
      </c>
      <c r="AI17" s="138">
        <f t="shared" si="28"/>
        <v>-5.4264664210824841E-2</v>
      </c>
      <c r="AJ17" s="353">
        <f>IF(OR(((AJ16-AD16)/AD16)&gt;=100%,((AJ16-AD16)/AD16)&lt;=-100%),"&gt;100%",((AJ16-AD16)/ABS(AD16)))</f>
        <v>-3.5920342453006099E-2</v>
      </c>
      <c r="AK17" s="354">
        <f>IF(OR(((AK16-AE16)/AE16)&gt;=100%,((AK16-AE16)/AE16)&lt;=-100%),"&gt;100%",((AK16-AE16)/ABS(AE16)))</f>
        <v>-4.7070872593199732E-2</v>
      </c>
      <c r="AL17" s="139">
        <f>IF(AL16*AH16&lt;=0,"n/a",IF((AL16-AH16)/AH16&gt;100%,"&gt;100%",(AL16-AH16)/AH16))</f>
        <v>7.715237594248801E-3</v>
      </c>
      <c r="AM17" s="354">
        <f>IF(AM16*AK16&lt;=0,"n/a",IF((AM16-AK16)/AK16&gt;100%,"&gt;100%",(AM16-AK16)/AK16))</f>
        <v>9.8877950217128975E-4</v>
      </c>
      <c r="AN17" s="139">
        <f t="shared" ref="AN17:AW17" si="29">AN16/AL16-1</f>
        <v>-3.0189664172611819E-2</v>
      </c>
      <c r="AO17" s="354">
        <f t="shared" si="29"/>
        <v>-2.3234839374677851E-2</v>
      </c>
      <c r="AP17" s="139">
        <f t="shared" si="29"/>
        <v>8.6749798151969149E-2</v>
      </c>
      <c r="AQ17" s="354">
        <f t="shared" si="29"/>
        <v>7.3956821879259449E-2</v>
      </c>
      <c r="AR17" s="139">
        <f t="shared" si="29"/>
        <v>3.0543173188044559E-3</v>
      </c>
      <c r="AS17" s="354">
        <f t="shared" si="29"/>
        <v>3.3080859774820892E-2</v>
      </c>
      <c r="AT17" s="139">
        <f t="shared" si="29"/>
        <v>2.6335281046827363E-2</v>
      </c>
      <c r="AU17" s="354">
        <f t="shared" si="29"/>
        <v>4.9419411088653664E-2</v>
      </c>
      <c r="AV17" s="398">
        <f t="shared" si="29"/>
        <v>-0.15467885494346878</v>
      </c>
      <c r="AW17" s="354">
        <f t="shared" si="29"/>
        <v>-0.1226963746223565</v>
      </c>
      <c r="AX17" s="398">
        <f t="shared" ref="AX17" si="30">AX16/AV16-1</f>
        <v>0.12711060519825468</v>
      </c>
      <c r="AY17" s="354">
        <f t="shared" ref="AY17:BA17" si="31">AY16/AW16-1</f>
        <v>0.11678360810985322</v>
      </c>
      <c r="AZ17" s="398">
        <v>0.20838242720080768</v>
      </c>
      <c r="BA17" s="354">
        <f t="shared" si="31"/>
        <v>0.21330558125192733</v>
      </c>
      <c r="BB17" s="398">
        <v>0.22600000000000001</v>
      </c>
      <c r="BC17" s="354">
        <v>0.13200000000000001</v>
      </c>
      <c r="BD17" s="354">
        <v>0.06</v>
      </c>
      <c r="BE17" s="354"/>
      <c r="BF17" s="53"/>
      <c r="BG17" s="474"/>
    </row>
    <row r="18" spans="1:59" s="53" customFormat="1">
      <c r="A18" s="92" t="s">
        <v>125</v>
      </c>
      <c r="B18" s="190"/>
      <c r="C18" s="190">
        <f>C16/C8</f>
        <v>0.38859840232389253</v>
      </c>
      <c r="D18" s="191">
        <f t="shared" ref="D18:AE18" si="32">D16/D8</f>
        <v>0.42119494566065208</v>
      </c>
      <c r="E18" s="191">
        <f t="shared" si="32"/>
        <v>0.41904333033123187</v>
      </c>
      <c r="F18" s="192">
        <f t="shared" si="32"/>
        <v>0.37621245568265438</v>
      </c>
      <c r="G18" s="191">
        <f t="shared" si="32"/>
        <v>0.40405675930287327</v>
      </c>
      <c r="H18" s="197">
        <f t="shared" si="32"/>
        <v>0.36833556952192636</v>
      </c>
      <c r="I18" s="191">
        <f t="shared" si="32"/>
        <v>0.39310971913517873</v>
      </c>
      <c r="J18" s="191">
        <f t="shared" si="32"/>
        <v>0.38890040418696237</v>
      </c>
      <c r="K18" s="192">
        <f t="shared" si="32"/>
        <v>0.35753532182103615</v>
      </c>
      <c r="L18" s="192">
        <f t="shared" si="32"/>
        <v>0.37887165720788402</v>
      </c>
      <c r="M18" s="191">
        <f t="shared" si="32"/>
        <v>0.35745685978610325</v>
      </c>
      <c r="N18" s="193">
        <f t="shared" si="32"/>
        <v>0.37673946206790448</v>
      </c>
      <c r="O18" s="197">
        <f t="shared" si="32"/>
        <v>0.34403063000348072</v>
      </c>
      <c r="P18" s="191">
        <f t="shared" si="32"/>
        <v>0.37432351172579675</v>
      </c>
      <c r="Q18" s="191">
        <f t="shared" si="32"/>
        <v>0.37023031969749048</v>
      </c>
      <c r="R18" s="192">
        <f t="shared" si="32"/>
        <v>0.34542518168830338</v>
      </c>
      <c r="S18" s="193">
        <f t="shared" si="32"/>
        <v>0.36042552590311228</v>
      </c>
      <c r="T18" s="197">
        <f t="shared" si="32"/>
        <v>0.34408938137993583</v>
      </c>
      <c r="U18" s="191">
        <f t="shared" si="32"/>
        <v>0.37200987057460838</v>
      </c>
      <c r="V18" s="191"/>
      <c r="W18" s="191">
        <f t="shared" si="32"/>
        <v>0.36628180954572415</v>
      </c>
      <c r="X18" s="191">
        <f t="shared" si="32"/>
        <v>0.34577517447657019</v>
      </c>
      <c r="Y18" s="193">
        <f t="shared" si="32"/>
        <v>0.35870938435987326</v>
      </c>
      <c r="Z18" s="197">
        <f t="shared" si="32"/>
        <v>0.33711851386269998</v>
      </c>
      <c r="AA18" s="191">
        <f t="shared" si="32"/>
        <v>0.36690950133388039</v>
      </c>
      <c r="AB18" s="191">
        <f t="shared" si="32"/>
        <v>0.35429298157404387</v>
      </c>
      <c r="AC18" s="191">
        <f t="shared" si="32"/>
        <v>0.36792993796590745</v>
      </c>
      <c r="AD18" s="191">
        <f t="shared" si="32"/>
        <v>0.34122951860790046</v>
      </c>
      <c r="AE18" s="193">
        <f t="shared" si="32"/>
        <v>0.35510619726505671</v>
      </c>
      <c r="AF18" s="197">
        <f t="shared" ref="AF18:AK18" si="33">AF16/AF8</f>
        <v>0.33641349260010517</v>
      </c>
      <c r="AG18" s="191">
        <f t="shared" si="33"/>
        <v>0.37408207343412525</v>
      </c>
      <c r="AH18" s="191">
        <f t="shared" si="33"/>
        <v>0.35832992994250884</v>
      </c>
      <c r="AI18" s="191">
        <f t="shared" si="33"/>
        <v>0.36734356942380719</v>
      </c>
      <c r="AJ18" s="191">
        <f t="shared" si="33"/>
        <v>0.34304635761589403</v>
      </c>
      <c r="AK18" s="193">
        <f t="shared" si="33"/>
        <v>0.35730085097232028</v>
      </c>
      <c r="AL18" s="197">
        <f t="shared" ref="AL18:AO18" si="34">AL16/AL8</f>
        <v>0.36478466469897491</v>
      </c>
      <c r="AM18" s="193">
        <f t="shared" si="34"/>
        <v>0.36690250705157496</v>
      </c>
      <c r="AN18" s="197">
        <f t="shared" si="34"/>
        <v>0.36620782548703967</v>
      </c>
      <c r="AO18" s="193">
        <f t="shared" si="34"/>
        <v>0.36570013366228454</v>
      </c>
      <c r="AP18" s="197">
        <f t="shared" ref="AP18:AU18" si="35">AP16/AP8</f>
        <v>0.37698388000248961</v>
      </c>
      <c r="AQ18" s="193">
        <f t="shared" si="35"/>
        <v>0.37450168659920269</v>
      </c>
      <c r="AR18" s="197">
        <f t="shared" si="35"/>
        <v>0.37639005049097041</v>
      </c>
      <c r="AS18" s="193">
        <f t="shared" si="35"/>
        <v>0.37903892085142182</v>
      </c>
      <c r="AT18" s="197">
        <f t="shared" si="35"/>
        <v>0.37200214771506979</v>
      </c>
      <c r="AU18" s="193">
        <f t="shared" si="35"/>
        <v>0.37688585254768003</v>
      </c>
      <c r="AV18" s="197">
        <f t="shared" ref="AV18:AY18" si="36">AV16/AV8</f>
        <v>0.37235094659508339</v>
      </c>
      <c r="AW18" s="193">
        <f t="shared" si="36"/>
        <v>0.37886101960272672</v>
      </c>
      <c r="AX18" s="197">
        <f t="shared" si="36"/>
        <v>0.36583638658825701</v>
      </c>
      <c r="AY18" s="193">
        <f t="shared" si="36"/>
        <v>0.36192176775849566</v>
      </c>
      <c r="AZ18" s="197">
        <v>0.34105323166821061</v>
      </c>
      <c r="BA18" s="193">
        <v>0.34221168898938947</v>
      </c>
      <c r="BB18" s="197">
        <f>BB16/BB8</f>
        <v>0.35049288061336253</v>
      </c>
      <c r="BC18" s="193">
        <v>0.34976433621366848</v>
      </c>
      <c r="BD18" s="193">
        <f>BD16/BD8</f>
        <v>0.36032537290362471</v>
      </c>
      <c r="BE18" s="193"/>
      <c r="BG18" s="474"/>
    </row>
    <row r="19" spans="1:59" s="53" customFormat="1">
      <c r="A19" s="92" t="s">
        <v>89</v>
      </c>
      <c r="B19" s="169">
        <v>-1999.3</v>
      </c>
      <c r="C19" s="169">
        <v>-482.7</v>
      </c>
      <c r="D19" s="170">
        <v>-546.29999999999995</v>
      </c>
      <c r="E19" s="170">
        <v>-550.29999999999995</v>
      </c>
      <c r="F19" s="171">
        <v>-515.79999999999995</v>
      </c>
      <c r="G19" s="170">
        <f>SUM(C19:F19)</f>
        <v>-2095.1</v>
      </c>
      <c r="H19" s="196">
        <v>-504</v>
      </c>
      <c r="I19" s="172">
        <v>-563.9</v>
      </c>
      <c r="J19" s="172">
        <v>-538.70000000000005</v>
      </c>
      <c r="K19" s="173">
        <v>-520.49999999999989</v>
      </c>
      <c r="L19" s="173">
        <f>SUM(H19:K19)</f>
        <v>-2127.1</v>
      </c>
      <c r="M19" s="172">
        <v>-519.79999999999995</v>
      </c>
      <c r="N19" s="179">
        <v>-2119.2999999999997</v>
      </c>
      <c r="O19" s="196">
        <v>-509.2</v>
      </c>
      <c r="P19" s="172">
        <v>-557.9</v>
      </c>
      <c r="Q19" s="172">
        <v>-544.1</v>
      </c>
      <c r="R19" s="172">
        <f>S19-Q19-P19-O19</f>
        <v>-585.39999999999986</v>
      </c>
      <c r="S19" s="179">
        <v>-2196.6</v>
      </c>
      <c r="T19" s="196">
        <v>-507.7</v>
      </c>
      <c r="U19" s="172">
        <v>-555.60000000000014</v>
      </c>
      <c r="V19" s="172">
        <f>T19+U19</f>
        <v>-1063.3000000000002</v>
      </c>
      <c r="W19" s="172">
        <f>Y19-U19-T19-X19</f>
        <v>-539.69999999999993</v>
      </c>
      <c r="X19" s="172">
        <v>-581.80000000000007</v>
      </c>
      <c r="Y19" s="179">
        <v>-2184.8000000000002</v>
      </c>
      <c r="Z19" s="196">
        <v>-491.7</v>
      </c>
      <c r="AA19" s="172">
        <v>-568.10000000000014</v>
      </c>
      <c r="AB19" s="172">
        <f>Z19+AA19</f>
        <v>-1059.8000000000002</v>
      </c>
      <c r="AC19" s="172">
        <v>-501.79999999999984</v>
      </c>
      <c r="AD19" s="172">
        <v>-500.20000000000022</v>
      </c>
      <c r="AE19" s="179">
        <v>-2061.8000000000002</v>
      </c>
      <c r="AF19" s="196">
        <v>-481.40000000000003</v>
      </c>
      <c r="AG19" s="172">
        <v>-504.19999999999993</v>
      </c>
      <c r="AH19" s="172">
        <f>AF19+AG19</f>
        <v>-985.59999999999991</v>
      </c>
      <c r="AI19" s="172">
        <v>-485.20000000000027</v>
      </c>
      <c r="AJ19" s="172">
        <v>-485.7999999999999</v>
      </c>
      <c r="AK19" s="179">
        <v>-1956.6000000000001</v>
      </c>
      <c r="AL19" s="196">
        <v>-952.8</v>
      </c>
      <c r="AM19" s="179">
        <v>-1909.2</v>
      </c>
      <c r="AN19" s="196">
        <v>-918.1</v>
      </c>
      <c r="AO19" s="179">
        <v>-1792.5</v>
      </c>
      <c r="AP19" s="196">
        <v>-933.5</v>
      </c>
      <c r="AQ19" s="179">
        <v>-1849.2</v>
      </c>
      <c r="AR19" s="196">
        <v>-908.6</v>
      </c>
      <c r="AS19" s="179">
        <v>-1875.9</v>
      </c>
      <c r="AT19" s="196">
        <v>-955.1</v>
      </c>
      <c r="AU19" s="179">
        <v>-1930.3</v>
      </c>
      <c r="AV19" s="397">
        <v>-850.8</v>
      </c>
      <c r="AW19" s="179">
        <v>-1682.2</v>
      </c>
      <c r="AX19" s="397">
        <v>-863.5</v>
      </c>
      <c r="AY19" s="179">
        <v>-1833.3</v>
      </c>
      <c r="AZ19" s="397">
        <v>-1198.9000000000001</v>
      </c>
      <c r="BA19" s="397">
        <v>-2482</v>
      </c>
      <c r="BB19" s="397">
        <v>-1208.4000000000001</v>
      </c>
      <c r="BC19" s="397">
        <v>-2613.5</v>
      </c>
      <c r="BD19" s="397">
        <v>-1310.2</v>
      </c>
      <c r="BE19" s="397"/>
      <c r="BG19" s="474"/>
    </row>
    <row r="20" spans="1:59" s="54" customFormat="1">
      <c r="A20" s="351" t="s">
        <v>141</v>
      </c>
      <c r="B20" s="352">
        <v>-0.15158073413961382</v>
      </c>
      <c r="C20" s="352">
        <f>+C19/-476.6-1</f>
        <v>1.2798992866134951E-2</v>
      </c>
      <c r="D20" s="138">
        <f>+D19/-526.7-1</f>
        <v>3.7212834630719449E-2</v>
      </c>
      <c r="E20" s="138">
        <f>+E19/-513.2-1</f>
        <v>7.2291504286827513E-2</v>
      </c>
      <c r="F20" s="353">
        <v>7.2999999999999995E-2</v>
      </c>
      <c r="G20" s="138">
        <f>G19/B19-1</f>
        <v>4.7916770869804504E-2</v>
      </c>
      <c r="H20" s="139">
        <f>IF(H19*C19&lt;=0,"n/a",IF((H19-C19)/C19&gt;100%,"&gt;100%",(H19-C19)/C19))</f>
        <v>4.4126786824114382E-2</v>
      </c>
      <c r="I20" s="138">
        <f>IF(I19*D19&lt;=0,"n/a",IF((I19-D19)/D19&gt;100%,"&gt;100%",(I19-D19)/D19))</f>
        <v>3.2216730734028969E-2</v>
      </c>
      <c r="J20" s="138">
        <f>IF(J19*E19&lt;=0,"n/a",IF((J19-E19)/E19&gt;100%,"&gt;100%",(J19-E19)/E19))</f>
        <v>-2.1079411230237887E-2</v>
      </c>
      <c r="K20" s="353">
        <f>IF(K19*F19&lt;=0,"n/a",IF((K19-F19)/F19&gt;100%,"&gt;100%",(K19-F19)/F19))</f>
        <v>9.1120589375725709E-3</v>
      </c>
      <c r="L20" s="353">
        <f>IF(L19*G19&lt;=0,"n/a",IF((L19-G19)/G19&gt;100%,"&gt;100%",(L19-G19)/G19))</f>
        <v>1.5273733950646748E-2</v>
      </c>
      <c r="M20" s="353">
        <f t="shared" ref="M20:S20" si="37">IF(M19*F19&lt;=0,"n/a",IF((M19-F19)/F19&gt;100%,"&gt;100%",(M19-F19)/F19))</f>
        <v>7.7549437766576195E-3</v>
      </c>
      <c r="N20" s="140">
        <f t="shared" si="37"/>
        <v>1.1550761300176517E-2</v>
      </c>
      <c r="O20" s="139">
        <f t="shared" si="37"/>
        <v>1.0317460317460295E-2</v>
      </c>
      <c r="P20" s="138">
        <f t="shared" si="37"/>
        <v>-1.0640184429863451E-2</v>
      </c>
      <c r="Q20" s="138">
        <f t="shared" si="37"/>
        <v>1.0024132170038939E-2</v>
      </c>
      <c r="R20" s="353">
        <f t="shared" si="37"/>
        <v>0.12468780019212294</v>
      </c>
      <c r="S20" s="354">
        <f t="shared" si="37"/>
        <v>3.2673593154999764E-2</v>
      </c>
      <c r="T20" s="139" t="s">
        <v>61</v>
      </c>
      <c r="U20" s="138" t="s">
        <v>61</v>
      </c>
      <c r="V20" s="138"/>
      <c r="W20" s="138" t="s">
        <v>61</v>
      </c>
      <c r="X20" s="353">
        <f>IF(X19*M19&lt;=0,"n/a",IF((X19-M19)/M19&gt;100%,"&gt;100%",(X19-M19)/M19))</f>
        <v>0.11927664486340923</v>
      </c>
      <c r="Y20" s="354">
        <f>IF(Y19*N19&lt;=0,"n/a",IF((Y19-N19)/N19&gt;100%,"&gt;100%",(Y19-N19)/N19))</f>
        <v>3.0906431368848422E-2</v>
      </c>
      <c r="Z20" s="139">
        <f>IF(Z19*T19&lt;=0,"n/a",IF((Z19-T19)/T19&gt;100%,"&gt;100%",(Z19-T19)/T19))</f>
        <v>-3.1514674020090602E-2</v>
      </c>
      <c r="AA20" s="138">
        <f>IF(OR(((AA19-U19)/U19)&gt;=100%,((AA19-U19)/U19)&lt;=-100%),"&gt;100%",((AA19-U19)/ABS(U19)))</f>
        <v>-2.2498200143988477E-2</v>
      </c>
      <c r="AB20" s="138">
        <f>IF(OR(((AB19-V19)/V19)&gt;=100%,((AB19-V19)/V19)&lt;=-100%),"&gt;100%",((AB19-V19)/ABS(V19)))</f>
        <v>3.2916392363396968E-3</v>
      </c>
      <c r="AC20" s="138">
        <f t="shared" ref="AC20:AI20" si="38">IF(AC19*W19&lt;=0,"n/a",IF((AC19-W19)/W19&gt;100%,"&gt;100%",(AC19-W19)/W19))</f>
        <v>-7.022419862886807E-2</v>
      </c>
      <c r="AD20" s="353">
        <f t="shared" si="38"/>
        <v>-0.1402543829494669</v>
      </c>
      <c r="AE20" s="354">
        <f t="shared" si="38"/>
        <v>-5.6298059318930789E-2</v>
      </c>
      <c r="AF20" s="139">
        <f t="shared" si="38"/>
        <v>-2.0947732357128237E-2</v>
      </c>
      <c r="AG20" s="138">
        <f t="shared" si="38"/>
        <v>-0.11248019714838971</v>
      </c>
      <c r="AH20" s="138">
        <f t="shared" si="38"/>
        <v>-7.0013210039630361E-2</v>
      </c>
      <c r="AI20" s="138">
        <f t="shared" si="38"/>
        <v>-3.3080908728576275E-2</v>
      </c>
      <c r="AJ20" s="353">
        <f>IF(OR(((AJ19-AD19)/AD19)&gt;=100%,((AJ19-AD19)/AD19)&lt;=-100%),"&gt;100%",((AJ19-AD19)/ABS(AD19)))</f>
        <v>2.8788484606158161E-2</v>
      </c>
      <c r="AK20" s="354">
        <f>IF(OR(((AK19-AE19)/AE19)&gt;=100%,((AK19-AE19)/AE19)&lt;=-100%),"&gt;100%",((AK19-AE19)/ABS(AE19)))</f>
        <v>5.1023377631196062E-2</v>
      </c>
      <c r="AL20" s="139">
        <f>IF(AL19*AH19&lt;=0,"n/a",IF((AL19-AH19)/AH19&gt;100%,"&gt;100%",(AL19-AH19)/AH19))</f>
        <v>-3.3279220779220735E-2</v>
      </c>
      <c r="AM20" s="354">
        <f>IF(AM19*AK19&lt;=0,"n/a",IF((AM19-AK19)/AK19&gt;100%,"&gt;100%",(AM19-AK19)/AK19))</f>
        <v>-2.4225697638761159E-2</v>
      </c>
      <c r="AN20" s="139">
        <f t="shared" ref="AN20:AW20" si="39">AN19/AL19-1</f>
        <v>-3.6418975650713614E-2</v>
      </c>
      <c r="AO20" s="354">
        <f t="shared" si="39"/>
        <v>-6.1125078566939051E-2</v>
      </c>
      <c r="AP20" s="139">
        <f t="shared" si="39"/>
        <v>1.6773771920270075E-2</v>
      </c>
      <c r="AQ20" s="354">
        <f t="shared" si="39"/>
        <v>3.1631799163180041E-2</v>
      </c>
      <c r="AR20" s="139">
        <f t="shared" si="39"/>
        <v>-2.6673808248527053E-2</v>
      </c>
      <c r="AS20" s="354">
        <f t="shared" si="39"/>
        <v>1.443867618429584E-2</v>
      </c>
      <c r="AT20" s="139">
        <f t="shared" si="39"/>
        <v>5.1177635923398634E-2</v>
      </c>
      <c r="AU20" s="354">
        <f t="shared" si="39"/>
        <v>2.8999413614798186E-2</v>
      </c>
      <c r="AV20" s="398">
        <f t="shared" si="39"/>
        <v>-0.10920322479321543</v>
      </c>
      <c r="AW20" s="354">
        <f t="shared" si="39"/>
        <v>-0.12852924415893896</v>
      </c>
      <c r="AX20" s="398">
        <f t="shared" ref="AX20" si="40">AX19/AV19-1</f>
        <v>1.4927127409497087E-2</v>
      </c>
      <c r="AY20" s="354">
        <f t="shared" ref="AY20" si="41">AY19/AW19-1</f>
        <v>8.982285102841514E-2</v>
      </c>
      <c r="AZ20" s="398">
        <v>0.38841922408801399</v>
      </c>
      <c r="BA20" s="398">
        <f>BA19/AY19-1</f>
        <v>0.35384279714176614</v>
      </c>
      <c r="BB20" s="398">
        <v>8.0000000000000002E-3</v>
      </c>
      <c r="BC20" s="398">
        <v>5.2999999999999999E-2</v>
      </c>
      <c r="BD20" s="398">
        <v>8.4000000000000005E-2</v>
      </c>
      <c r="BE20" s="398"/>
      <c r="BF20" s="53"/>
      <c r="BG20" s="474"/>
    </row>
    <row r="21" spans="1:59" s="53" customFormat="1">
      <c r="A21" s="92" t="s">
        <v>104</v>
      </c>
      <c r="B21" s="169">
        <v>-1987.2</v>
      </c>
      <c r="C21" s="169">
        <v>-478.1</v>
      </c>
      <c r="D21" s="170">
        <v>-545.20000000000005</v>
      </c>
      <c r="E21" s="170">
        <v>-536.5</v>
      </c>
      <c r="F21" s="171">
        <v>-498.6</v>
      </c>
      <c r="G21" s="170">
        <f>SUM(C21:F21)</f>
        <v>-2058.4</v>
      </c>
      <c r="H21" s="196">
        <v>-493.9</v>
      </c>
      <c r="I21" s="172">
        <v>-557.20000000000005</v>
      </c>
      <c r="J21" s="172">
        <v>-530.9</v>
      </c>
      <c r="K21" s="173">
        <v>-473.59999999999991</v>
      </c>
      <c r="L21" s="173">
        <f>SUM(H21:K21)</f>
        <v>-2055.6</v>
      </c>
      <c r="M21" s="172">
        <v>-473.3</v>
      </c>
      <c r="N21" s="179">
        <v>-2048.2294753899996</v>
      </c>
      <c r="O21" s="196">
        <v>-495.8</v>
      </c>
      <c r="P21" s="172">
        <v>-553.70000000000005</v>
      </c>
      <c r="Q21" s="172">
        <v>-533.29999999999995</v>
      </c>
      <c r="R21" s="172">
        <f>S21-Q21-P21-O21</f>
        <v>-503.2</v>
      </c>
      <c r="S21" s="179">
        <v>-2086</v>
      </c>
      <c r="T21" s="196">
        <v>-494.3</v>
      </c>
      <c r="U21" s="172">
        <v>-550.90000000000009</v>
      </c>
      <c r="V21" s="172">
        <f>T21+U21</f>
        <v>-1045.2</v>
      </c>
      <c r="W21" s="172">
        <f>Y21-U21-T21-X21</f>
        <v>-529.40000000000055</v>
      </c>
      <c r="X21" s="172">
        <v>-499.30305900000008</v>
      </c>
      <c r="Y21" s="179">
        <v>-2073.9030590000007</v>
      </c>
      <c r="Z21" s="196">
        <v>-483.7</v>
      </c>
      <c r="AA21" s="172">
        <v>-536.00000000000011</v>
      </c>
      <c r="AB21" s="172">
        <f>Z21+AA21</f>
        <v>-1019.7</v>
      </c>
      <c r="AC21" s="172">
        <v>-498.39999999999986</v>
      </c>
      <c r="AD21" s="172">
        <v>-468.99099648000026</v>
      </c>
      <c r="AE21" s="179">
        <v>-1987.0909964800001</v>
      </c>
      <c r="AF21" s="196">
        <v>-474.58963424000001</v>
      </c>
      <c r="AG21" s="172">
        <v>-499.11036575999992</v>
      </c>
      <c r="AH21" s="172">
        <f>AF21+AG21</f>
        <v>-973.69999999999993</v>
      </c>
      <c r="AI21" s="172">
        <v>-466.60000000000025</v>
      </c>
      <c r="AJ21" s="172">
        <v>-461.09999999999991</v>
      </c>
      <c r="AK21" s="179">
        <v>-1901.4</v>
      </c>
      <c r="AL21" s="196">
        <v>-930.4</v>
      </c>
      <c r="AM21" s="179">
        <v>-1855.2</v>
      </c>
      <c r="AN21" s="196">
        <v>-885.1</v>
      </c>
      <c r="AO21" s="179">
        <v>-1756.8</v>
      </c>
      <c r="AP21" s="196">
        <v>-920.3</v>
      </c>
      <c r="AQ21" s="179">
        <v>-1821.5</v>
      </c>
      <c r="AR21" s="196">
        <v>-904.6</v>
      </c>
      <c r="AS21" s="179">
        <v>-1842.6</v>
      </c>
      <c r="AT21" s="196">
        <v>-922</v>
      </c>
      <c r="AU21" s="179">
        <v>-1889.3</v>
      </c>
      <c r="AV21" s="397">
        <v>-850</v>
      </c>
      <c r="AW21" s="179">
        <v>-1672.4</v>
      </c>
      <c r="AX21" s="397">
        <v>-852</v>
      </c>
      <c r="AY21" s="179">
        <v>-1797.8</v>
      </c>
      <c r="AZ21" s="397">
        <v>-997.7</v>
      </c>
      <c r="BA21" s="179">
        <v>-2259.6999999999998</v>
      </c>
      <c r="BB21" s="397">
        <v>-1203.4000000000001</v>
      </c>
      <c r="BC21" s="179">
        <v>-2487.9</v>
      </c>
      <c r="BD21" s="179">
        <v>-1307.5</v>
      </c>
      <c r="BE21" s="179"/>
      <c r="BG21" s="474"/>
    </row>
    <row r="22" spans="1:59" s="54" customFormat="1">
      <c r="A22" s="351" t="s">
        <v>141</v>
      </c>
      <c r="B22" s="352">
        <v>-7.5118681932421105E-2</v>
      </c>
      <c r="C22" s="352">
        <f>+C21/-472.2-1</f>
        <v>1.2494705633206316E-2</v>
      </c>
      <c r="D22" s="138">
        <f>+D21/-522.3-1</f>
        <v>4.384453379283948E-2</v>
      </c>
      <c r="E22" s="138">
        <f>+E21/-507.3-1</f>
        <v>5.7559629410605107E-2</v>
      </c>
      <c r="F22" s="353">
        <v>3.2000000000000001E-2</v>
      </c>
      <c r="G22" s="138">
        <f>G21/B21-1</f>
        <v>3.582930756843794E-2</v>
      </c>
      <c r="H22" s="139">
        <f>IF(H21*C21&lt;=0,"n/a",IF((H21-C21)/C21&gt;100%,"&gt;100%",(H21-C21)/C21))</f>
        <v>3.3047479606776731E-2</v>
      </c>
      <c r="I22" s="138">
        <f>IF(I21*D21&lt;=0,"n/a",IF((I21-D21)/D21&gt;100%,"&gt;100%",(I21-D21)/D21))</f>
        <v>2.201027146001467E-2</v>
      </c>
      <c r="J22" s="138">
        <f>IF(J21*E21&lt;=0,"n/a",IF((J21-E21)/E21&gt;100%,"&gt;100%",(J21-E21)/E21))</f>
        <v>-1.0438024231127722E-2</v>
      </c>
      <c r="K22" s="353">
        <f>IF(K21*F21&lt;=0,"n/a",IF((K21-F21)/F21&gt;100%,"&gt;100%",(K21-F21)/F21))</f>
        <v>-5.0140393100682135E-2</v>
      </c>
      <c r="L22" s="353">
        <f>IF(L21*G21&lt;=0,"n/a",IF((L21-G21)/G21&gt;100%,"&gt;100%",(L21-G21)/G21))</f>
        <v>-1.3602798289934813E-3</v>
      </c>
      <c r="M22" s="353">
        <f t="shared" ref="M22:S22" si="42">IF(M21*F21&lt;=0,"n/a",IF((M21-F21)/F21&gt;100%,"&gt;100%",(M21-F21)/F21))</f>
        <v>-5.0742077817890113E-2</v>
      </c>
      <c r="N22" s="140">
        <f t="shared" si="42"/>
        <v>-4.940985527594483E-3</v>
      </c>
      <c r="O22" s="139">
        <f t="shared" si="42"/>
        <v>3.8469325774448961E-3</v>
      </c>
      <c r="P22" s="138">
        <f t="shared" si="42"/>
        <v>-6.2814070351758788E-3</v>
      </c>
      <c r="Q22" s="138">
        <f t="shared" si="42"/>
        <v>4.5206253531738134E-3</v>
      </c>
      <c r="R22" s="353">
        <f t="shared" si="42"/>
        <v>6.250000000000018E-2</v>
      </c>
      <c r="S22" s="354">
        <f t="shared" si="42"/>
        <v>1.4788869429850211E-2</v>
      </c>
      <c r="T22" s="139" t="s">
        <v>61</v>
      </c>
      <c r="U22" s="138" t="s">
        <v>61</v>
      </c>
      <c r="V22" s="138"/>
      <c r="W22" s="138" t="s">
        <v>61</v>
      </c>
      <c r="X22" s="353">
        <f>IF(X21*M21&lt;=0,"n/a",IF((X21-M21)/M21&gt;100%,"&gt;100%",(X21-M21)/M21))</f>
        <v>5.4939909148531724E-2</v>
      </c>
      <c r="Y22" s="354">
        <f>IF(Y21*N21&lt;=0,"n/a",IF((Y21-N21)/N21&gt;100%,"&gt;100%",(Y21-N21)/N21))</f>
        <v>1.2534525021964445E-2</v>
      </c>
      <c r="Z22" s="139">
        <f>IF(Z21*T21&lt;=0,"n/a",IF((Z21-T21)/T21&gt;100%,"&gt;100%",(Z21-T21)/T21))</f>
        <v>-2.1444466922921349E-2</v>
      </c>
      <c r="AA22" s="138">
        <f>IF(OR(((AA21-U21)/U21)&gt;=100%,((AA21-U21)/U21)&lt;=-100%),"&gt;100%",((AA21-U21)/ABS(U21)))</f>
        <v>2.7046650934833862E-2</v>
      </c>
      <c r="AB22" s="138">
        <f>IF(OR(((AB21-V21)/V21)&gt;=100%,((AB21-V21)/V21)&lt;=-100%),"&gt;100%",((AB21-V21)/ABS(V21)))</f>
        <v>2.4397244546498276E-2</v>
      </c>
      <c r="AC22" s="138">
        <f t="shared" ref="AC22:AI22" si="43">IF(AC21*W21&lt;=0,"n/a",IF((AC21-W21)/W21&gt;100%,"&gt;100%",(AC21-W21)/W21))</f>
        <v>-5.8556856819041651E-2</v>
      </c>
      <c r="AD22" s="353">
        <f t="shared" si="43"/>
        <v>-6.0708745868107747E-2</v>
      </c>
      <c r="AE22" s="354">
        <f t="shared" si="43"/>
        <v>-4.1859267309176856E-2</v>
      </c>
      <c r="AF22" s="139">
        <f t="shared" si="43"/>
        <v>-1.8834744180276988E-2</v>
      </c>
      <c r="AG22" s="138">
        <f t="shared" si="43"/>
        <v>-6.8823944477612281E-2</v>
      </c>
      <c r="AH22" s="138">
        <f t="shared" si="43"/>
        <v>-4.5111307247229684E-2</v>
      </c>
      <c r="AI22" s="138">
        <f t="shared" si="43"/>
        <v>-6.38041733547344E-2</v>
      </c>
      <c r="AJ22" s="353">
        <f>IF(OR(((AJ21-AD21)/AD21)&gt;=100%,((AJ21-AD21)/AD21)&lt;=-100%),"&gt;100%",((AJ21-AD21)/ABS(AD21)))</f>
        <v>1.6825475412590055E-2</v>
      </c>
      <c r="AK22" s="354">
        <f>IF(OR(((AK21-AE21)/AE21)&gt;=100%,((AK21-AE21)/AE21)&lt;=-100%),"&gt;100%",((AK21-AE21)/ABS(AE21)))</f>
        <v>4.3123841148591524E-2</v>
      </c>
      <c r="AL22" s="139">
        <f>IF(AL21*AH21&lt;=0,"n/a",IF((AL21-AH21)/AH21&gt;100%,"&gt;100%",(AL21-AH21)/AH21))</f>
        <v>-4.4469549142446295E-2</v>
      </c>
      <c r="AM22" s="354">
        <f>IF(AM21*AK21&lt;=0,"n/a",IF((AM21-AK21)/AK21&gt;100%,"&gt;100%",(AM21-AK21)/AK21))</f>
        <v>-2.4297885768381215E-2</v>
      </c>
      <c r="AN22" s="139">
        <f t="shared" ref="AN22:AW22" si="44">AN21/AL21-1</f>
        <v>-4.8688736027515001E-2</v>
      </c>
      <c r="AO22" s="354">
        <f t="shared" si="44"/>
        <v>-5.3040103492884905E-2</v>
      </c>
      <c r="AP22" s="139">
        <f t="shared" si="44"/>
        <v>3.9769517568636337E-2</v>
      </c>
      <c r="AQ22" s="354">
        <f t="shared" si="44"/>
        <v>3.6828324225865128E-2</v>
      </c>
      <c r="AR22" s="139">
        <f t="shared" si="44"/>
        <v>-1.705965446050195E-2</v>
      </c>
      <c r="AS22" s="354">
        <f t="shared" si="44"/>
        <v>1.1583859456491874E-2</v>
      </c>
      <c r="AT22" s="139">
        <f t="shared" si="44"/>
        <v>1.9235021003758623E-2</v>
      </c>
      <c r="AU22" s="354">
        <f t="shared" si="44"/>
        <v>2.534462173016383E-2</v>
      </c>
      <c r="AV22" s="398">
        <f t="shared" si="44"/>
        <v>-7.8091106290672396E-2</v>
      </c>
      <c r="AW22" s="354">
        <f t="shared" si="44"/>
        <v>-0.11480442491928222</v>
      </c>
      <c r="AX22" s="398">
        <f t="shared" ref="AX22" si="45">AX21/AV21-1</f>
        <v>2.3529411764706687E-3</v>
      </c>
      <c r="AY22" s="354">
        <f t="shared" ref="AY22" si="46">AY21/AW21-1</f>
        <v>7.4982061707725256E-2</v>
      </c>
      <c r="AZ22" s="398">
        <v>0.17100938967136159</v>
      </c>
      <c r="BA22" s="354">
        <v>0.25692513071531864</v>
      </c>
      <c r="BB22" s="398">
        <v>0.20599999999999999</v>
      </c>
      <c r="BC22" s="354">
        <v>0.10098685666238905</v>
      </c>
      <c r="BD22" s="354">
        <v>8.6999999999999994E-2</v>
      </c>
      <c r="BE22" s="354"/>
      <c r="BF22" s="53"/>
      <c r="BG22" s="474"/>
    </row>
    <row r="23" spans="1:59" s="53" customFormat="1">
      <c r="A23" s="92" t="s">
        <v>110</v>
      </c>
      <c r="B23" s="190"/>
      <c r="C23" s="190">
        <f>C21/C8</f>
        <v>-0.34720406681190996</v>
      </c>
      <c r="D23" s="191">
        <f t="shared" ref="D23:AF23" si="47">D21/D8</f>
        <v>-0.28350059799282412</v>
      </c>
      <c r="E23" s="191">
        <f t="shared" si="47"/>
        <v>-0.26843790653457422</v>
      </c>
      <c r="F23" s="192">
        <f t="shared" si="47"/>
        <v>-0.33353401565322094</v>
      </c>
      <c r="G23" s="191">
        <f t="shared" si="47"/>
        <v>-0.30299105040037683</v>
      </c>
      <c r="H23" s="197">
        <f t="shared" si="47"/>
        <v>-0.34877480403926275</v>
      </c>
      <c r="I23" s="191">
        <f t="shared" si="47"/>
        <v>-0.28147100424328153</v>
      </c>
      <c r="J23" s="191">
        <f t="shared" si="47"/>
        <v>-0.27510622862472794</v>
      </c>
      <c r="K23" s="192">
        <f t="shared" si="47"/>
        <v>-0.30978545264259538</v>
      </c>
      <c r="L23" s="192">
        <f t="shared" si="47"/>
        <v>-0.29989933326524953</v>
      </c>
      <c r="M23" s="191">
        <f t="shared" si="47"/>
        <v>-0.31054392756380816</v>
      </c>
      <c r="N23" s="193">
        <f t="shared" si="47"/>
        <v>-0.3001376661914042</v>
      </c>
      <c r="O23" s="197">
        <f t="shared" si="47"/>
        <v>-0.34514444831186913</v>
      </c>
      <c r="P23" s="191">
        <f t="shared" si="47"/>
        <v>-0.27746041290839851</v>
      </c>
      <c r="Q23" s="191">
        <f t="shared" si="47"/>
        <v>-0.261896577125178</v>
      </c>
      <c r="R23" s="192">
        <f t="shared" si="47"/>
        <v>-0.31256599788806755</v>
      </c>
      <c r="S23" s="193">
        <f t="shared" si="47"/>
        <v>-0.29470353050873799</v>
      </c>
      <c r="T23" s="197">
        <f t="shared" si="47"/>
        <v>-0.34484442584065855</v>
      </c>
      <c r="U23" s="191">
        <f t="shared" si="47"/>
        <v>-0.27743365060180297</v>
      </c>
      <c r="V23" s="191"/>
      <c r="W23" s="191">
        <f t="shared" si="47"/>
        <v>-0.26197545526524185</v>
      </c>
      <c r="X23" s="191">
        <f t="shared" si="47"/>
        <v>-0.31113101881854427</v>
      </c>
      <c r="Y23" s="193">
        <f t="shared" si="47"/>
        <v>-0.2943919626101893</v>
      </c>
      <c r="Z23" s="197">
        <f t="shared" si="47"/>
        <v>-0.33780291919826799</v>
      </c>
      <c r="AA23" s="191">
        <f t="shared" si="47"/>
        <v>-0.27498460907038791</v>
      </c>
      <c r="AB23" s="191">
        <f t="shared" si="47"/>
        <v>-0.30158824051344241</v>
      </c>
      <c r="AC23" s="191">
        <f t="shared" si="47"/>
        <v>-0.25981337642704472</v>
      </c>
      <c r="AD23" s="191">
        <f t="shared" si="47"/>
        <v>-0.29784770511876041</v>
      </c>
      <c r="AE23" s="193">
        <f t="shared" si="47"/>
        <v>-0.2890734647192319</v>
      </c>
      <c r="AF23" s="197">
        <f t="shared" si="47"/>
        <v>-0.35653942922395016</v>
      </c>
      <c r="AG23" s="191">
        <f>AG21/AG8</f>
        <v>-0.26949803766738656</v>
      </c>
      <c r="AH23" s="191">
        <f>AH21/AH8</f>
        <v>-0.30589676730231535</v>
      </c>
      <c r="AI23" s="191">
        <f>AI21/AI8</f>
        <v>-0.25678278575752589</v>
      </c>
      <c r="AJ23" s="191">
        <f>AJ21/AJ8</f>
        <v>-0.30536423841059596</v>
      </c>
      <c r="AK23" s="193">
        <f>AK21/AK8</f>
        <v>-0.29206475991521003</v>
      </c>
      <c r="AL23" s="197">
        <f t="shared" ref="AL23:AQ23" si="48">AL21/AL8</f>
        <v>-0.29528071344695167</v>
      </c>
      <c r="AM23" s="193">
        <f t="shared" si="48"/>
        <v>-0.29233702588991661</v>
      </c>
      <c r="AN23" s="197">
        <f t="shared" si="48"/>
        <v>-0.29077827786720983</v>
      </c>
      <c r="AO23" s="193">
        <f t="shared" si="48"/>
        <v>-0.28248779616493047</v>
      </c>
      <c r="AP23" s="197">
        <f t="shared" si="48"/>
        <v>-0.28639447314371069</v>
      </c>
      <c r="AQ23" s="193">
        <f t="shared" si="48"/>
        <v>-0.27928549524685681</v>
      </c>
      <c r="AR23" s="197">
        <f>AR21/AR8</f>
        <v>-0.28020939813524143</v>
      </c>
      <c r="AS23" s="193">
        <v>-0.27700000000000002</v>
      </c>
      <c r="AT23" s="197">
        <f>AT21/AT8</f>
        <v>-0.2750268464383725</v>
      </c>
      <c r="AU23" s="193">
        <f>AU21/AU8</f>
        <v>-0.26890122402504979</v>
      </c>
      <c r="AV23" s="399">
        <v>-0.30022605255721957</v>
      </c>
      <c r="AW23" s="193">
        <f>AW21/AW8</f>
        <v>-0.27274209856812032</v>
      </c>
      <c r="AX23" s="197">
        <f>AX21/AX8</f>
        <v>-0.26232334739370056</v>
      </c>
      <c r="AY23" s="193">
        <f>AY21/AY8</f>
        <v>-0.25079515652028345</v>
      </c>
      <c r="AZ23" s="197">
        <v>-0.23698900211406451</v>
      </c>
      <c r="BA23" s="193">
        <v>-0.24566228909375543</v>
      </c>
      <c r="BB23" s="197">
        <v>-0.24</v>
      </c>
      <c r="BC23" s="193">
        <v>-0.24429497250589161</v>
      </c>
      <c r="BD23" s="193">
        <f>BD21/BD8</f>
        <v>-0.25262771466110207</v>
      </c>
      <c r="BE23" s="193"/>
      <c r="BG23" s="474"/>
    </row>
    <row r="24" spans="1:59" s="53" customFormat="1">
      <c r="A24" s="92" t="s">
        <v>97</v>
      </c>
      <c r="B24" s="169">
        <v>1019.3</v>
      </c>
      <c r="C24" s="169">
        <v>145.1</v>
      </c>
      <c r="D24" s="170">
        <v>364.1</v>
      </c>
      <c r="E24" s="170">
        <v>382.1</v>
      </c>
      <c r="F24" s="171">
        <v>160.19999999999999</v>
      </c>
      <c r="G24" s="170">
        <f>SUM(C24:F24)</f>
        <v>1051.5</v>
      </c>
      <c r="H24" s="196">
        <v>113.1</v>
      </c>
      <c r="I24" s="172">
        <v>311.89999999999998</v>
      </c>
      <c r="J24" s="172">
        <v>307.10000000000002</v>
      </c>
      <c r="K24" s="173">
        <v>144.60000000000002</v>
      </c>
      <c r="L24" s="173">
        <f>SUM(H24:K24)</f>
        <v>876.7</v>
      </c>
      <c r="M24" s="172">
        <v>141</v>
      </c>
      <c r="N24" s="179">
        <v>852.2</v>
      </c>
      <c r="O24" s="196">
        <v>82.6</v>
      </c>
      <c r="P24" s="172">
        <v>285</v>
      </c>
      <c r="Q24" s="172">
        <v>307.89999999999998</v>
      </c>
      <c r="R24" s="172">
        <f>S24-Q24-P24-O24</f>
        <v>100.70000000000007</v>
      </c>
      <c r="S24" s="179">
        <v>776.2</v>
      </c>
      <c r="T24" s="196">
        <v>81.699999999999989</v>
      </c>
      <c r="U24" s="172">
        <v>277.50000000000006</v>
      </c>
      <c r="V24" s="172">
        <f>T24+U24</f>
        <v>359.20000000000005</v>
      </c>
      <c r="W24" s="172">
        <f>Y24-U24-T24-X24</f>
        <v>297.99999999999994</v>
      </c>
      <c r="X24" s="172">
        <v>100.39999999999993</v>
      </c>
      <c r="Y24" s="179">
        <v>757.59999999999991</v>
      </c>
      <c r="Z24" s="196">
        <v>83.3</v>
      </c>
      <c r="AA24" s="172">
        <v>244.59999999999997</v>
      </c>
      <c r="AB24" s="172">
        <f>Z24+AA24</f>
        <v>327.9</v>
      </c>
      <c r="AC24" s="172">
        <v>295.80000000000007</v>
      </c>
      <c r="AD24" s="172">
        <v>132.39999999999998</v>
      </c>
      <c r="AE24" s="179">
        <v>756.1</v>
      </c>
      <c r="AF24" s="196">
        <v>64.8</v>
      </c>
      <c r="AG24" s="172">
        <v>282.89999999999998</v>
      </c>
      <c r="AH24" s="172">
        <f>AF24+AG24</f>
        <v>347.7</v>
      </c>
      <c r="AI24" s="172">
        <v>265.00000000000006</v>
      </c>
      <c r="AJ24" s="172">
        <v>129.39999999999998</v>
      </c>
      <c r="AK24" s="179">
        <v>742.1</v>
      </c>
      <c r="AL24" s="196">
        <v>369.5</v>
      </c>
      <c r="AM24" s="179">
        <v>766.3</v>
      </c>
      <c r="AN24" s="196">
        <v>395.7</v>
      </c>
      <c r="AO24" s="179">
        <v>845.9</v>
      </c>
      <c r="AP24" s="196">
        <v>423.2</v>
      </c>
      <c r="AQ24" s="179">
        <v>927.5</v>
      </c>
      <c r="AR24" s="196">
        <v>465.9</v>
      </c>
      <c r="AS24" s="179">
        <v>968.7</v>
      </c>
      <c r="AT24" s="196">
        <v>479.4</v>
      </c>
      <c r="AU24" s="179">
        <v>1110.7</v>
      </c>
      <c r="AV24" s="397">
        <v>399.8</v>
      </c>
      <c r="AW24" s="179">
        <v>1059.2</v>
      </c>
      <c r="AX24" s="397">
        <v>514.70000000000005</v>
      </c>
      <c r="AY24" s="179">
        <v>1151.5</v>
      </c>
      <c r="AZ24" s="397">
        <v>663.79999999999961</v>
      </c>
      <c r="BA24" s="179">
        <v>1343.5999999999997</v>
      </c>
      <c r="BB24" s="397">
        <v>765.6</v>
      </c>
      <c r="BC24" s="179">
        <v>1487.8</v>
      </c>
      <c r="BD24" s="179">
        <v>760.6</v>
      </c>
      <c r="BE24" s="179"/>
      <c r="BF24" s="91"/>
      <c r="BG24" s="474"/>
    </row>
    <row r="25" spans="1:59" s="54" customFormat="1">
      <c r="A25" s="351" t="s">
        <v>141</v>
      </c>
      <c r="B25" s="352">
        <v>-1.8960538979788333E-2</v>
      </c>
      <c r="C25" s="352">
        <f>+C24/130.8-1</f>
        <v>0.10932721712538207</v>
      </c>
      <c r="D25" s="138">
        <f>+D24/351.3-1</f>
        <v>3.6436094506120176E-2</v>
      </c>
      <c r="E25" s="138">
        <f>+E24/374.7-1</f>
        <v>1.9749132639445E-2</v>
      </c>
      <c r="F25" s="353">
        <f>+F24/162.5-1</f>
        <v>-1.4153846153846183E-2</v>
      </c>
      <c r="G25" s="138">
        <f>G24/B24-1</f>
        <v>3.159030707348176E-2</v>
      </c>
      <c r="H25" s="139">
        <f>IF(H24*C24&lt;=0,"n/a",IF((H24-C24)/C24&gt;100%,"&gt;100%",(H24-C24)/C24))</f>
        <v>-0.22053756030323915</v>
      </c>
      <c r="I25" s="138">
        <f>IF(I24*D24&lt;=0,"n/a",IF((I24-D24)/D24&gt;100%,"&gt;100%",(I24-D24)/D24))</f>
        <v>-0.14336720681131568</v>
      </c>
      <c r="J25" s="138">
        <f>IF(J24*E24&lt;=0,"n/a",IF((J24-E24)/E24&gt;100%,"&gt;100%",(J24-E24)/E24))</f>
        <v>-0.19628369536770479</v>
      </c>
      <c r="K25" s="353">
        <f>IF(K24*F24&lt;=0,"n/a",IF((K24-F24)/F24&gt;100%,"&gt;100%",(K24-F24)/F24))</f>
        <v>-9.7378277153557846E-2</v>
      </c>
      <c r="L25" s="353">
        <f>IF(L24*G24&lt;=0,"n/a",IF((L24-G24)/G24&gt;100%,"&gt;100%",(L24-G24)/G24))</f>
        <v>-0.16623870660960527</v>
      </c>
      <c r="M25" s="353">
        <f t="shared" ref="M25:S25" si="49">IF(M24*F24&lt;=0,"n/a",IF((M24-F24)/F24&gt;100%,"&gt;100%",(M24-F24)/F24))</f>
        <v>-0.11985018726591753</v>
      </c>
      <c r="N25" s="140">
        <f t="shared" si="49"/>
        <v>-0.18953875416072274</v>
      </c>
      <c r="O25" s="139">
        <f t="shared" si="49"/>
        <v>-0.26967285587975243</v>
      </c>
      <c r="P25" s="138">
        <f t="shared" si="49"/>
        <v>-8.6245591535748567E-2</v>
      </c>
      <c r="Q25" s="138">
        <f t="shared" si="49"/>
        <v>2.6050146532072761E-3</v>
      </c>
      <c r="R25" s="353">
        <f t="shared" si="49"/>
        <v>-0.30359612724757912</v>
      </c>
      <c r="S25" s="354">
        <f t="shared" si="49"/>
        <v>-0.11463442454659518</v>
      </c>
      <c r="T25" s="139" t="s">
        <v>61</v>
      </c>
      <c r="U25" s="138" t="s">
        <v>61</v>
      </c>
      <c r="V25" s="138"/>
      <c r="W25" s="138" t="s">
        <v>61</v>
      </c>
      <c r="X25" s="353">
        <f>IF(X24*M24&lt;=0,"n/a",IF((X24-M24)/M24&gt;100%,"&gt;100%",(X24-M24)/M24))</f>
        <v>-0.28794326241134799</v>
      </c>
      <c r="Y25" s="354">
        <f>IF(Y24*N24&lt;=0,"n/a",IF((Y24-N24)/N24&gt;100%,"&gt;100%",(Y24-N24)/N24))</f>
        <v>-0.11100680591410482</v>
      </c>
      <c r="Z25" s="139">
        <f>IF(Z24*T24&lt;=0,"n/a",IF((Z24-T24)/T24&gt;100%,"&gt;100%",(Z24-T24)/T24))</f>
        <v>1.9583843329253472E-2</v>
      </c>
      <c r="AA25" s="138">
        <f>IF(OR(((AA24-U24)/U24)&gt;=100%,((AA24-U24)/U24)&lt;=-100%),"&gt;100%",((AA24-U24)/ABS(U24)))</f>
        <v>-0.11855855855855886</v>
      </c>
      <c r="AB25" s="138">
        <f>IF(OR(((AB24-V24)/V24)&gt;=100%,((AB24-V24)/V24)&lt;=-100%),"&gt;100%",((AB24-V24)/ABS(V24)))</f>
        <v>-8.7138084632516877E-2</v>
      </c>
      <c r="AC25" s="138">
        <f t="shared" ref="AC25:AI25" si="50">IF(AC24*W24&lt;=0,"n/a",IF((AC24-W24)/W24&gt;100%,"&gt;100%",(AC24-W24)/W24))</f>
        <v>-7.3825503355700517E-3</v>
      </c>
      <c r="AD25" s="353">
        <f t="shared" si="50"/>
        <v>0.31872509960159423</v>
      </c>
      <c r="AE25" s="354">
        <f t="shared" si="50"/>
        <v>-1.9799366420273053E-3</v>
      </c>
      <c r="AF25" s="139">
        <f t="shared" si="50"/>
        <v>-0.22208883553421369</v>
      </c>
      <c r="AG25" s="138">
        <f t="shared" si="50"/>
        <v>0.15658217497955854</v>
      </c>
      <c r="AH25" s="138">
        <f t="shared" si="50"/>
        <v>6.0384263494968018E-2</v>
      </c>
      <c r="AI25" s="138">
        <f t="shared" si="50"/>
        <v>-0.10412440838404328</v>
      </c>
      <c r="AJ25" s="353">
        <f>IF(OR(((AJ24-AD24)/AD24)&gt;=100%,((AJ24-AD24)/AD24)&lt;=-100%),"&gt;100%",((AJ24-AD24)/ABS(AD24)))</f>
        <v>-2.2658610271903329E-2</v>
      </c>
      <c r="AK25" s="354">
        <f>IF(OR(((AK24-AE24)/AE24)&gt;=100%,((AK24-AE24)/AE24)&lt;=-100%),"&gt;100%",((AK24-AE24)/ABS(AE24)))</f>
        <v>-1.8516069303002248E-2</v>
      </c>
      <c r="AL25" s="139">
        <f>IF(AL24*AH24&lt;=0,"n/a",IF((AL24-AH24)/AH24&gt;100%,"&gt;100%",(AL24-AH24)/AH24))</f>
        <v>6.2697727926373348E-2</v>
      </c>
      <c r="AM25" s="354">
        <f>IF(AM24*AK24&lt;=0,"n/a",IF((AM24-AK24)/AK24&gt;100%,"&gt;100%",(AM24-AK24)/AK24))</f>
        <v>3.2610160355747111E-2</v>
      </c>
      <c r="AN25" s="139">
        <f t="shared" ref="AN25:AW25" si="51">AN24/AL24-1</f>
        <v>7.0906630581867303E-2</v>
      </c>
      <c r="AO25" s="354">
        <f t="shared" si="51"/>
        <v>0.10387576667101661</v>
      </c>
      <c r="AP25" s="139">
        <f t="shared" si="51"/>
        <v>6.9497093757897366E-2</v>
      </c>
      <c r="AQ25" s="354">
        <f t="shared" si="51"/>
        <v>9.6465303227331933E-2</v>
      </c>
      <c r="AR25" s="139">
        <f t="shared" si="51"/>
        <v>0.10089792060491498</v>
      </c>
      <c r="AS25" s="354">
        <f t="shared" si="51"/>
        <v>4.442048517520214E-2</v>
      </c>
      <c r="AT25" s="139">
        <f t="shared" si="51"/>
        <v>2.8976175144880933E-2</v>
      </c>
      <c r="AU25" s="354">
        <f t="shared" si="51"/>
        <v>0.14658821100443897</v>
      </c>
      <c r="AV25" s="398">
        <f t="shared" si="51"/>
        <v>-0.16604088443888187</v>
      </c>
      <c r="AW25" s="354">
        <f t="shared" si="51"/>
        <v>-4.6367155847663599E-2</v>
      </c>
      <c r="AX25" s="398">
        <f t="shared" ref="AX25" si="52">AX24/AV24-1</f>
        <v>0.28739369684842431</v>
      </c>
      <c r="AY25" s="354">
        <f t="shared" ref="AY25" si="53">AY24/AW24-1</f>
        <v>8.7141238670694898E-2</v>
      </c>
      <c r="AZ25" s="398">
        <v>0.28968331066640673</v>
      </c>
      <c r="BA25" s="354">
        <v>0.16682587928788517</v>
      </c>
      <c r="BB25" s="398">
        <v>0.153</v>
      </c>
      <c r="BC25" s="354">
        <v>0.10732360821673148</v>
      </c>
      <c r="BD25" s="354">
        <v>-7.0000000000000001E-3</v>
      </c>
      <c r="BE25" s="354"/>
      <c r="BF25" s="53"/>
      <c r="BG25" s="474"/>
    </row>
    <row r="26" spans="1:59" s="53" customFormat="1">
      <c r="A26" s="92" t="s">
        <v>32</v>
      </c>
      <c r="B26" s="169">
        <v>1021.2</v>
      </c>
      <c r="C26" s="169">
        <v>149.69999999999999</v>
      </c>
      <c r="D26" s="170">
        <v>365.6</v>
      </c>
      <c r="E26" s="170">
        <v>395.9</v>
      </c>
      <c r="F26" s="171">
        <v>177.3</v>
      </c>
      <c r="G26" s="170">
        <f>SUM(C26:F26)</f>
        <v>1088.5</v>
      </c>
      <c r="H26" s="196">
        <v>122.6</v>
      </c>
      <c r="I26" s="172">
        <v>317.7</v>
      </c>
      <c r="J26" s="172">
        <v>315.5</v>
      </c>
      <c r="K26" s="173">
        <v>174.49410514000004</v>
      </c>
      <c r="L26" s="173">
        <f>SUM(H26:K26)</f>
        <v>930.29410514000006</v>
      </c>
      <c r="M26" s="172">
        <v>170.5</v>
      </c>
      <c r="N26" s="179">
        <v>905.35363560000008</v>
      </c>
      <c r="O26" s="196">
        <v>93.2</v>
      </c>
      <c r="P26" s="172">
        <v>294.2</v>
      </c>
      <c r="Q26" s="172">
        <v>317.5</v>
      </c>
      <c r="R26" s="172">
        <f>S26-Q26-P26-O26</f>
        <v>152.20000000000005</v>
      </c>
      <c r="S26" s="179">
        <v>857.1</v>
      </c>
      <c r="T26" s="196">
        <v>92.317719269999984</v>
      </c>
      <c r="U26" s="172">
        <v>287.15013095000006</v>
      </c>
      <c r="V26" s="172">
        <f>T26+U26</f>
        <v>379.46785022000006</v>
      </c>
      <c r="W26" s="172">
        <f>Y26-U26-T26-X26</f>
        <v>307.07117016462013</v>
      </c>
      <c r="X26" s="172">
        <v>152.26097961537977</v>
      </c>
      <c r="Y26" s="179">
        <v>838.8</v>
      </c>
      <c r="Z26" s="196">
        <v>93.623534939999999</v>
      </c>
      <c r="AA26" s="172">
        <v>273.08</v>
      </c>
      <c r="AB26" s="172">
        <f>Z26+AA26</f>
        <v>366.70353494</v>
      </c>
      <c r="AC26" s="172">
        <v>297.60000000000008</v>
      </c>
      <c r="AD26" s="172">
        <v>158.29999999999998</v>
      </c>
      <c r="AE26" s="179">
        <v>822.60257789000002</v>
      </c>
      <c r="AF26" s="196">
        <v>67</v>
      </c>
      <c r="AG26" s="172">
        <v>283.29999999999995</v>
      </c>
      <c r="AH26" s="172">
        <f>AF26+AG26</f>
        <v>350.29999999999995</v>
      </c>
      <c r="AI26" s="172">
        <v>285.60000000000008</v>
      </c>
      <c r="AJ26" s="172">
        <v>148.79999999999998</v>
      </c>
      <c r="AK26" s="179">
        <v>784.7</v>
      </c>
      <c r="AL26" s="196">
        <v>382.3</v>
      </c>
      <c r="AM26" s="179">
        <v>803.6</v>
      </c>
      <c r="AN26" s="196">
        <v>387.1</v>
      </c>
      <c r="AO26" s="179">
        <v>839.3</v>
      </c>
      <c r="AP26" s="196">
        <v>448</v>
      </c>
      <c r="AQ26" s="179">
        <v>949.3</v>
      </c>
      <c r="AR26" s="196">
        <v>473</v>
      </c>
      <c r="AS26" s="179">
        <v>1000.3</v>
      </c>
      <c r="AT26" s="196">
        <v>514.4</v>
      </c>
      <c r="AU26" s="179">
        <v>1152.9000000000001</v>
      </c>
      <c r="AV26" s="397">
        <v>405.7</v>
      </c>
      <c r="AW26" s="179">
        <v>1070.8</v>
      </c>
      <c r="AX26" s="397">
        <v>515.1</v>
      </c>
      <c r="AY26" s="179">
        <v>1183</v>
      </c>
      <c r="AZ26" s="397">
        <v>666.9</v>
      </c>
      <c r="BA26" s="179">
        <v>1371.5</v>
      </c>
      <c r="BB26" s="397">
        <v>769</v>
      </c>
      <c r="BC26" s="179">
        <v>1506.1</v>
      </c>
      <c r="BD26" s="179">
        <v>758.6</v>
      </c>
      <c r="BE26" s="179"/>
      <c r="BG26" s="474"/>
    </row>
    <row r="27" spans="1:59" s="54" customFormat="1">
      <c r="A27" s="351" t="s">
        <v>141</v>
      </c>
      <c r="B27" s="352">
        <v>-1.7510101981912718E-2</v>
      </c>
      <c r="C27" s="352">
        <f>+C26/133.1-1</f>
        <v>0.12471825694966188</v>
      </c>
      <c r="D27" s="138">
        <f>+D26/355.5-1</f>
        <v>2.8410689170182968E-2</v>
      </c>
      <c r="E27" s="138">
        <f>+E26/378.1-1</f>
        <v>4.7077492726791625E-2</v>
      </c>
      <c r="F27" s="353">
        <f>+F26/154.5-1</f>
        <v>0.14757281553398061</v>
      </c>
      <c r="G27" s="138">
        <f>G26/B26-1</f>
        <v>6.5902859381120171E-2</v>
      </c>
      <c r="H27" s="139">
        <f>IF(H26*C26&lt;=0,"n/a",IF((H26-C26)/C26&gt;100%,"&gt;100%",(H26-C26)/C26))</f>
        <v>-0.18102872411489643</v>
      </c>
      <c r="I27" s="138">
        <f>IF(I26*D26&lt;=0,"n/a",IF((I26-D26)/D26&gt;100%,"&gt;100%",(I26-D26)/D26))</f>
        <v>-0.13101750547045959</v>
      </c>
      <c r="J27" s="138">
        <f>IF(J26*E26&lt;=0,"n/a",IF((J26-E26)/E26&gt;100%,"&gt;100%",(J26-E26)/E26))</f>
        <v>-0.20308158625915632</v>
      </c>
      <c r="K27" s="353">
        <f>IF(K26*F26&lt;=0,"n/a",IF((K26-F26)/F26&gt;100%,"&gt;100%",(K26-F26)/F26))</f>
        <v>-1.5825690129723444E-2</v>
      </c>
      <c r="L27" s="353">
        <f>IF(L26*G26&lt;=0,"n/a",IF((L26-G26)/G26&gt;100%,"&gt;100%",(L26-G26)/G26))</f>
        <v>-0.14534303615985295</v>
      </c>
      <c r="M27" s="353">
        <f t="shared" ref="M27:S27" si="54">IF(M26*F26&lt;=0,"n/a",IF((M26-F26)/F26&gt;100%,"&gt;100%",(M26-F26)/F26))</f>
        <v>-3.8353073886068872E-2</v>
      </c>
      <c r="N27" s="140">
        <f t="shared" si="54"/>
        <v>-0.168255732108406</v>
      </c>
      <c r="O27" s="139">
        <f t="shared" si="54"/>
        <v>-0.23980424143556275</v>
      </c>
      <c r="P27" s="138">
        <f t="shared" si="54"/>
        <v>-7.3969153289266606E-2</v>
      </c>
      <c r="Q27" s="138">
        <f t="shared" si="54"/>
        <v>6.3391442155309036E-3</v>
      </c>
      <c r="R27" s="353">
        <f t="shared" si="54"/>
        <v>-0.12776423090116998</v>
      </c>
      <c r="S27" s="354">
        <f t="shared" si="54"/>
        <v>-7.86784574207154E-2</v>
      </c>
      <c r="T27" s="139" t="s">
        <v>61</v>
      </c>
      <c r="U27" s="138" t="s">
        <v>61</v>
      </c>
      <c r="V27" s="138"/>
      <c r="W27" s="138" t="s">
        <v>61</v>
      </c>
      <c r="X27" s="353">
        <f>IF(X26*M26&lt;=0,"n/a",IF((X26-M26)/M26&gt;100%,"&gt;100%",(X26-M26)/M26))</f>
        <v>-0.10697372659601309</v>
      </c>
      <c r="Y27" s="354">
        <f>IF(Y26*N26&lt;=0,"n/a",IF((Y26-N26)/N26&gt;100%,"&gt;100%",(Y26-N26)/N26))</f>
        <v>-7.3511203780491141E-2</v>
      </c>
      <c r="Z27" s="139">
        <f>IF(Z26*T26&lt;=0,"n/a",IF((Z26-T26)/T26&gt;100%,"&gt;100%",(Z26-T26)/T26))</f>
        <v>1.4144799940095137E-2</v>
      </c>
      <c r="AA27" s="138">
        <f>IF(OR(((AA26-U26)/U26)&gt;=100%,((AA26-U26)/U26)&lt;=-100%),"&gt;100%",((AA26-U26)/ABS(U26)))</f>
        <v>-4.8999214812999806E-2</v>
      </c>
      <c r="AB27" s="138">
        <f>IF(OR(((AB26-V26)/V26)&gt;=100%,((AB26-V26)/V26)&lt;=-100%),"&gt;100%",((AB26-V26)/ABS(V26)))</f>
        <v>-3.3637408999470784E-2</v>
      </c>
      <c r="AC27" s="138">
        <f t="shared" ref="AC27:AI27" si="55">IF(AC26*W26&lt;=0,"n/a",IF((AC26-W26)/W26&gt;100%,"&gt;100%",(AC26-W26)/W26))</f>
        <v>-3.0843566849804157E-2</v>
      </c>
      <c r="AD27" s="353">
        <f t="shared" si="55"/>
        <v>3.9662298245257174E-2</v>
      </c>
      <c r="AE27" s="354">
        <f t="shared" si="55"/>
        <v>-1.9310231413924576E-2</v>
      </c>
      <c r="AF27" s="139">
        <f t="shared" si="55"/>
        <v>-0.28436797389739749</v>
      </c>
      <c r="AG27" s="138">
        <f t="shared" si="55"/>
        <v>3.7424930423319069E-2</v>
      </c>
      <c r="AH27" s="138">
        <f t="shared" si="55"/>
        <v>-4.4732415635655075E-2</v>
      </c>
      <c r="AI27" s="138">
        <f t="shared" si="55"/>
        <v>-4.0322580645161282E-2</v>
      </c>
      <c r="AJ27" s="353">
        <f>IF(OR(((AJ26-AD26)/AD26)&gt;=100%,((AJ26-AD26)/AD26)&lt;=-100%),"&gt;100%",((AJ26-AD26)/ABS(AD26)))</f>
        <v>-6.0012634238787117E-2</v>
      </c>
      <c r="AK27" s="354">
        <f>IF(OR(((AK26-AE26)/AE26)&gt;=100%,((AK26-AE26)/AE26)&lt;=-100%),"&gt;100%",((AK26-AE26)/ABS(AE26)))</f>
        <v>-4.6076415159336373E-2</v>
      </c>
      <c r="AL27" s="139">
        <f>IF(AL26*AH26&lt;=0,"n/a",IF((AL26-AH26)/AH26&gt;100%,"&gt;100%",(AL26-AH26)/AH26))</f>
        <v>9.1350271196117785E-2</v>
      </c>
      <c r="AM27" s="354">
        <f>IF(AM26*AK26&lt;=0,"n/a",IF((AM26-AK26)/AK26&gt;100%,"&gt;100%",(AM26-AK26)/AK26))</f>
        <v>2.4085637823371957E-2</v>
      </c>
      <c r="AN27" s="139">
        <f t="shared" ref="AN27:AW27" si="56">AN26/AL26-1</f>
        <v>1.2555584619408977E-2</v>
      </c>
      <c r="AO27" s="354">
        <f t="shared" si="56"/>
        <v>4.442508710801385E-2</v>
      </c>
      <c r="AP27" s="139">
        <f t="shared" si="56"/>
        <v>0.15732368896925841</v>
      </c>
      <c r="AQ27" s="354">
        <f t="shared" si="56"/>
        <v>0.13106159895150715</v>
      </c>
      <c r="AR27" s="139">
        <f t="shared" si="56"/>
        <v>5.5803571428571397E-2</v>
      </c>
      <c r="AS27" s="354">
        <f t="shared" si="56"/>
        <v>5.3723796481617958E-2</v>
      </c>
      <c r="AT27" s="139">
        <f t="shared" si="56"/>
        <v>8.7526427061310752E-2</v>
      </c>
      <c r="AU27" s="354">
        <f t="shared" si="56"/>
        <v>0.15255423372988108</v>
      </c>
      <c r="AV27" s="398">
        <f t="shared" si="56"/>
        <v>-0.21131415241057538</v>
      </c>
      <c r="AW27" s="354">
        <f t="shared" si="56"/>
        <v>-7.1211726949432008E-2</v>
      </c>
      <c r="AX27" s="398">
        <f t="shared" ref="AX27" si="57">AX26/AV26-1</f>
        <v>0.26965738230219394</v>
      </c>
      <c r="AY27" s="354">
        <f t="shared" ref="AY27:BA27" si="58">AY26/AW26-1</f>
        <v>0.10478147179678743</v>
      </c>
      <c r="AZ27" s="398">
        <v>0.29470005824111811</v>
      </c>
      <c r="BA27" s="354">
        <f t="shared" si="58"/>
        <v>0.15934065934065944</v>
      </c>
      <c r="BB27" s="398">
        <v>0.153</v>
      </c>
      <c r="BC27" s="354">
        <v>9.8140721837404188E-2</v>
      </c>
      <c r="BD27" s="354">
        <v>-1.4E-2</v>
      </c>
      <c r="BE27" s="354"/>
      <c r="BF27" s="53"/>
      <c r="BG27" s="474"/>
    </row>
    <row r="28" spans="1:59" s="53" customFormat="1">
      <c r="A28" s="92" t="s">
        <v>166</v>
      </c>
      <c r="B28" s="169"/>
      <c r="C28" s="169"/>
      <c r="D28" s="170"/>
      <c r="E28" s="170"/>
      <c r="F28" s="171"/>
      <c r="G28" s="170"/>
      <c r="H28" s="196"/>
      <c r="I28" s="172"/>
      <c r="J28" s="172"/>
      <c r="K28" s="173"/>
      <c r="L28" s="173"/>
      <c r="M28" s="172"/>
      <c r="N28" s="179"/>
      <c r="O28" s="196"/>
      <c r="P28" s="172"/>
      <c r="Q28" s="172"/>
      <c r="R28" s="172"/>
      <c r="S28" s="179"/>
      <c r="T28" s="196"/>
      <c r="U28" s="172"/>
      <c r="V28" s="172"/>
      <c r="W28" s="172"/>
      <c r="X28" s="172"/>
      <c r="Y28" s="179"/>
      <c r="Z28" s="196"/>
      <c r="AA28" s="172"/>
      <c r="AB28" s="172"/>
      <c r="AC28" s="172"/>
      <c r="AD28" s="172"/>
      <c r="AE28" s="179"/>
      <c r="AF28" s="196"/>
      <c r="AG28" s="172"/>
      <c r="AH28" s="172"/>
      <c r="AI28" s="172"/>
      <c r="AJ28" s="172"/>
      <c r="AK28" s="179"/>
      <c r="AL28" s="196"/>
      <c r="AM28" s="179"/>
      <c r="AN28" s="196"/>
      <c r="AO28" s="179"/>
      <c r="AP28" s="196"/>
      <c r="AQ28" s="179"/>
      <c r="AR28" s="196"/>
      <c r="AS28" s="179"/>
      <c r="AT28" s="196"/>
      <c r="AU28" s="179"/>
      <c r="AV28" s="397">
        <v>4.5999999999999996</v>
      </c>
      <c r="AW28" s="179">
        <v>21.4</v>
      </c>
      <c r="AX28" s="397">
        <v>14.1</v>
      </c>
      <c r="AY28" s="179">
        <v>34.4</v>
      </c>
      <c r="AZ28" s="397">
        <v>24.4</v>
      </c>
      <c r="BA28" s="179">
        <v>41.6</v>
      </c>
      <c r="BB28" s="397">
        <v>4.0999999999999996</v>
      </c>
      <c r="BC28" s="179">
        <v>9.6999999999999993</v>
      </c>
      <c r="BD28" s="179">
        <v>6.7</v>
      </c>
      <c r="BE28" s="179"/>
      <c r="BG28" s="474"/>
    </row>
    <row r="29" spans="1:59" s="54" customFormat="1">
      <c r="A29" s="351" t="s">
        <v>141</v>
      </c>
      <c r="B29" s="352"/>
      <c r="C29" s="352"/>
      <c r="D29" s="138"/>
      <c r="E29" s="138"/>
      <c r="F29" s="353"/>
      <c r="G29" s="138"/>
      <c r="H29" s="139"/>
      <c r="I29" s="138"/>
      <c r="J29" s="138"/>
      <c r="K29" s="353"/>
      <c r="L29" s="353"/>
      <c r="M29" s="353"/>
      <c r="N29" s="140"/>
      <c r="O29" s="139"/>
      <c r="P29" s="138"/>
      <c r="Q29" s="138"/>
      <c r="R29" s="353"/>
      <c r="S29" s="354"/>
      <c r="T29" s="139"/>
      <c r="U29" s="138"/>
      <c r="V29" s="138"/>
      <c r="W29" s="138"/>
      <c r="X29" s="353"/>
      <c r="Y29" s="354"/>
      <c r="Z29" s="139"/>
      <c r="AA29" s="138"/>
      <c r="AB29" s="138"/>
      <c r="AC29" s="138"/>
      <c r="AD29" s="353"/>
      <c r="AE29" s="354"/>
      <c r="AF29" s="139"/>
      <c r="AG29" s="138"/>
      <c r="AH29" s="138"/>
      <c r="AI29" s="138"/>
      <c r="AJ29" s="353"/>
      <c r="AK29" s="354"/>
      <c r="AL29" s="139"/>
      <c r="AM29" s="354"/>
      <c r="AN29" s="139"/>
      <c r="AO29" s="354"/>
      <c r="AP29" s="139"/>
      <c r="AQ29" s="354"/>
      <c r="AR29" s="139"/>
      <c r="AS29" s="354"/>
      <c r="AT29" s="139"/>
      <c r="AU29" s="354"/>
      <c r="AV29" s="398" t="s">
        <v>168</v>
      </c>
      <c r="AW29" s="354" t="s">
        <v>168</v>
      </c>
      <c r="AX29" s="398" t="s">
        <v>172</v>
      </c>
      <c r="AY29" s="354">
        <f t="shared" ref="AY29" si="59">AY28/AW28-1</f>
        <v>0.60747663551401865</v>
      </c>
      <c r="AZ29" s="398" t="s">
        <v>172</v>
      </c>
      <c r="BA29" s="354">
        <v>0.2093023255813955</v>
      </c>
      <c r="BB29" s="398">
        <v>-0.83199999999999996</v>
      </c>
      <c r="BC29" s="354">
        <v>-0.76682692307692313</v>
      </c>
      <c r="BD29" s="354">
        <v>0.63400000000000001</v>
      </c>
      <c r="BE29" s="354"/>
      <c r="BF29" s="53"/>
      <c r="BG29" s="474"/>
    </row>
    <row r="30" spans="1:59" s="53" customFormat="1">
      <c r="A30" s="92" t="s">
        <v>33</v>
      </c>
      <c r="B30" s="169">
        <v>638.79999999999995</v>
      </c>
      <c r="C30" s="169">
        <f>+C14+C19</f>
        <v>52.400000000000034</v>
      </c>
      <c r="D30" s="170">
        <f>+D14+D19</f>
        <v>263.70000000000005</v>
      </c>
      <c r="E30" s="170">
        <f>+E14+E19</f>
        <v>287.20000000000005</v>
      </c>
      <c r="F30" s="171">
        <f>+F14+F19</f>
        <v>46.600000000000136</v>
      </c>
      <c r="G30" s="170">
        <f>SUM(C30:F30)</f>
        <v>649.90000000000032</v>
      </c>
      <c r="H30" s="196">
        <f>+H14+H19</f>
        <v>17.599999999999909</v>
      </c>
      <c r="I30" s="172">
        <f>+I14+I19</f>
        <v>214.29999999999984</v>
      </c>
      <c r="J30" s="172">
        <f>+J14+J19</f>
        <v>211.19999999999982</v>
      </c>
      <c r="K30" s="173">
        <f>+K14+K19</f>
        <v>25.300000000000296</v>
      </c>
      <c r="L30" s="173">
        <f>SUM(H30:K30)</f>
        <v>468.39999999999986</v>
      </c>
      <c r="M30" s="172">
        <f t="shared" ref="M30:R30" si="60">+M14+M19</f>
        <v>24.199999999999932</v>
      </c>
      <c r="N30" s="179">
        <f t="shared" si="60"/>
        <v>450.30000000000064</v>
      </c>
      <c r="O30" s="196">
        <f t="shared" si="60"/>
        <v>-12.800000000000011</v>
      </c>
      <c r="P30" s="172">
        <f t="shared" si="60"/>
        <v>182.69999999999993</v>
      </c>
      <c r="Q30" s="172">
        <f t="shared" si="60"/>
        <v>210.99999999999989</v>
      </c>
      <c r="R30" s="172">
        <f t="shared" si="60"/>
        <v>-30.800000000000409</v>
      </c>
      <c r="S30" s="179">
        <f>S14+S19</f>
        <v>350.09999999999991</v>
      </c>
      <c r="T30" s="196">
        <f>+T14+T19</f>
        <v>-12.299999999999898</v>
      </c>
      <c r="U30" s="172">
        <f>+U14+U19</f>
        <v>176.69999999999959</v>
      </c>
      <c r="V30" s="172">
        <f>T30+U30</f>
        <v>164.39999999999969</v>
      </c>
      <c r="W30" s="172">
        <f>+W14+W19</f>
        <v>201.69999999999925</v>
      </c>
      <c r="X30" s="172">
        <f>+X14+X19</f>
        <v>-28.399999999999977</v>
      </c>
      <c r="Y30" s="179">
        <f>+Y14+Y19</f>
        <v>337.69999999999891</v>
      </c>
      <c r="Z30" s="196">
        <f>+Z14+Z19</f>
        <v>-11.299999999999898</v>
      </c>
      <c r="AA30" s="172">
        <f>+AA14+AA19</f>
        <v>145.2999999999995</v>
      </c>
      <c r="AB30" s="172">
        <f>Z30+AA30</f>
        <v>133.9999999999996</v>
      </c>
      <c r="AC30" s="172">
        <f>+AC14+AC19</f>
        <v>205.60000000000025</v>
      </c>
      <c r="AD30" s="172">
        <f>+AD14+AD19</f>
        <v>34.099999999999966</v>
      </c>
      <c r="AE30" s="179">
        <f>+AE14+AE19</f>
        <v>373.69999999999982</v>
      </c>
      <c r="AF30" s="196">
        <f>+AF14+AF19</f>
        <v>-29.200000000000102</v>
      </c>
      <c r="AG30" s="172">
        <f>+AG14+AG19</f>
        <v>193.30000000000007</v>
      </c>
      <c r="AH30" s="172">
        <f>AF30+AG30</f>
        <v>164.09999999999997</v>
      </c>
      <c r="AI30" s="172">
        <f>+AI14+AI19</f>
        <v>179.79999999999973</v>
      </c>
      <c r="AJ30" s="172">
        <f>+AJ14+AJ19</f>
        <v>17.200000000000102</v>
      </c>
      <c r="AK30" s="179">
        <f>+AK14+AK19</f>
        <v>361.09999999999968</v>
      </c>
      <c r="AL30" s="196">
        <v>199.10000000000014</v>
      </c>
      <c r="AM30" s="179">
        <v>418.2</v>
      </c>
      <c r="AN30" s="196">
        <v>220.6</v>
      </c>
      <c r="AO30" s="179">
        <v>506.3</v>
      </c>
      <c r="AP30" s="196">
        <v>266.39999999999998</v>
      </c>
      <c r="AQ30" s="179">
        <v>589.79999999999995</v>
      </c>
      <c r="AR30" s="196">
        <v>303.89999999999998</v>
      </c>
      <c r="AS30" s="179">
        <v>639.4</v>
      </c>
      <c r="AT30" s="196">
        <v>288.89999999999998</v>
      </c>
      <c r="AU30" s="179">
        <v>715.3</v>
      </c>
      <c r="AV30" s="397">
        <v>202.9</v>
      </c>
      <c r="AW30" s="179">
        <v>660.69999999999993</v>
      </c>
      <c r="AX30" s="397">
        <v>350.1</v>
      </c>
      <c r="AY30" s="179">
        <v>799.3</v>
      </c>
      <c r="AZ30" s="397">
        <v>275.6999999999997</v>
      </c>
      <c r="BA30" s="179">
        <v>703.8</v>
      </c>
      <c r="BB30" s="397">
        <v>557.29999999999995</v>
      </c>
      <c r="BC30" s="179">
        <v>953.6</v>
      </c>
      <c r="BD30" s="179">
        <v>566.1</v>
      </c>
      <c r="BE30" s="179"/>
      <c r="BG30" s="474"/>
    </row>
    <row r="31" spans="1:59" s="54" customFormat="1">
      <c r="A31" s="351" t="s">
        <v>141</v>
      </c>
      <c r="B31" s="352">
        <v>0.40519137703475572</v>
      </c>
      <c r="C31" s="352">
        <f>+C30/36.8-1</f>
        <v>0.42391304347826186</v>
      </c>
      <c r="D31" s="138">
        <f>+D30/264.5-1</f>
        <v>-3.0245746691869302E-3</v>
      </c>
      <c r="E31" s="138">
        <f>+E30/274.6-1</f>
        <v>4.5884923525127519E-2</v>
      </c>
      <c r="F31" s="353">
        <f>+F30/62.9-1</f>
        <v>-0.25914149443560985</v>
      </c>
      <c r="G31" s="138">
        <f>G30/B30-1</f>
        <v>1.7376330619912839E-2</v>
      </c>
      <c r="H31" s="139">
        <f>IF(H30*C30&lt;=0,"n/a",IF((H30-C30)/C30&gt;100%,"&gt;100%",(H30-C30)/C30))</f>
        <v>-0.66412213740458215</v>
      </c>
      <c r="I31" s="138">
        <f>IF(I30*D30&lt;=0,"n/a",IF((I30-D30)/D30&gt;100%,"&gt;100%",(I30-D30)/D30))</f>
        <v>-0.18733409177095259</v>
      </c>
      <c r="J31" s="138">
        <f>IF(J30*E30&lt;=0,"n/a",IF((J30-E30)/E30&gt;100%,"&gt;100%",(J30-E30)/E30))</f>
        <v>-0.2646239554317556</v>
      </c>
      <c r="K31" s="353">
        <f>IF(K30*F30&lt;=0,"n/a",IF((K30-F30)/F30&gt;100%,"&gt;100%",(K30-F30)/F30))</f>
        <v>-0.45708154506437293</v>
      </c>
      <c r="L31" s="353">
        <f>IF(L30*G30&lt;=0,"n/a",IF((L30-G30)/G30&gt;100%,"&gt;100%",(L30-G30)/G30))</f>
        <v>-0.27927373442068065</v>
      </c>
      <c r="M31" s="353">
        <f t="shared" ref="M31:S31" si="61">IF(M30*F30&lt;=0,"n/a",IF((M30-F30)/F30&gt;100%,"&gt;100%",(M30-F30)/F30))</f>
        <v>-0.48068669527897295</v>
      </c>
      <c r="N31" s="140">
        <f t="shared" si="61"/>
        <v>-0.30712417294968392</v>
      </c>
      <c r="O31" s="139" t="str">
        <f t="shared" si="61"/>
        <v>n/a</v>
      </c>
      <c r="P31" s="138">
        <f t="shared" si="61"/>
        <v>-0.14745683621091896</v>
      </c>
      <c r="Q31" s="138">
        <f t="shared" si="61"/>
        <v>-9.4696969696937477E-4</v>
      </c>
      <c r="R31" s="353" t="str">
        <f t="shared" si="61"/>
        <v>n/a</v>
      </c>
      <c r="S31" s="354">
        <f t="shared" si="61"/>
        <v>-0.25256191289496155</v>
      </c>
      <c r="T31" s="139" t="s">
        <v>61</v>
      </c>
      <c r="U31" s="138" t="s">
        <v>61</v>
      </c>
      <c r="V31" s="138"/>
      <c r="W31" s="138" t="s">
        <v>61</v>
      </c>
      <c r="X31" s="353" t="str">
        <f>IF(X30*M30&lt;=0,"n/a",IF((X30-M30)/M30&gt;100%,"&gt;100%",(X30-M30)/M30))</f>
        <v>n/a</v>
      </c>
      <c r="Y31" s="354">
        <f>IF(Y30*N30&lt;=0,"n/a",IF((Y30-N30)/N30&gt;100%,"&gt;100%",(Y30-N30)/N30))</f>
        <v>-0.25005551854319691</v>
      </c>
      <c r="Z31" s="139">
        <f>IF(Z30*T30&lt;=0,"n/a",IF((Z30-T30)/T30&gt;100%,"&gt;100%",(Z30-T30)/T30))</f>
        <v>-8.130081300813076E-2</v>
      </c>
      <c r="AA31" s="138">
        <f>IF(OR(((AA30-U30)/U30)&gt;=100%,((AA30-U30)/U30)&lt;=-100%),"&gt;100%",((AA30-U30)/ABS(U30)))</f>
        <v>-0.17770232031692226</v>
      </c>
      <c r="AB31" s="138">
        <f>IF(OR(((AB30-V30)/V30)&gt;=100%,((AB30-V30)/V30)&lt;=-100%),"&gt;100%",((AB30-V30)/ABS(V30)))</f>
        <v>-0.18491484184914933</v>
      </c>
      <c r="AC31" s="138">
        <f t="shared" ref="AC31:AI31" si="62">IF(AC30*W30&lt;=0,"n/a",IF((AC30-W30)/W30&gt;100%,"&gt;100%",(AC30-W30)/W30))</f>
        <v>1.9335647000500819E-2</v>
      </c>
      <c r="AD31" s="353" t="str">
        <f t="shared" si="62"/>
        <v>n/a</v>
      </c>
      <c r="AE31" s="354">
        <f t="shared" si="62"/>
        <v>0.10660349422564711</v>
      </c>
      <c r="AF31" s="139" t="str">
        <f t="shared" si="62"/>
        <v>&gt;100%</v>
      </c>
      <c r="AG31" s="138">
        <f t="shared" si="62"/>
        <v>0.33035099793531131</v>
      </c>
      <c r="AH31" s="138">
        <f t="shared" si="62"/>
        <v>0.22462686567164517</v>
      </c>
      <c r="AI31" s="138">
        <f t="shared" si="62"/>
        <v>-0.12548638132295958</v>
      </c>
      <c r="AJ31" s="353">
        <f>IF(OR(((AJ30-AD30)/AD30)&gt;=100%,((AJ30-AD30)/AD30)&lt;=-100%),"&gt;100%",((AJ30-AD30)/ABS(AD30)))</f>
        <v>-0.49560117302052437</v>
      </c>
      <c r="AK31" s="354">
        <f>IF(OR(((AK30-AE30)/AE30)&gt;=100%,((AK30-AE30)/AE30)&lt;=-100%),"&gt;100%",((AK30-AE30)/ABS(AE30)))</f>
        <v>-3.37168852020341E-2</v>
      </c>
      <c r="AL31" s="139">
        <f>IF(AL30*AH30&lt;=0,"n/a",IF((AL30-AH30)/AH30&gt;100%,"&gt;100%",(AL30-AH30)/AH30))</f>
        <v>0.21328458257160376</v>
      </c>
      <c r="AM31" s="354">
        <f>IF(AM30*AK30&lt;=0,"n/a",IF((AM30-AK30)/AK30&gt;100%,"&gt;100%",(AM30-AK30)/AK30))</f>
        <v>0.15812794239822864</v>
      </c>
      <c r="AN31" s="139">
        <f t="shared" ref="AN31:AW31" si="63">AN30/AL30-1</f>
        <v>0.10798593671521761</v>
      </c>
      <c r="AO31" s="354">
        <f t="shared" si="63"/>
        <v>0.21066475370636062</v>
      </c>
      <c r="AP31" s="139">
        <f t="shared" si="63"/>
        <v>0.2076155938349955</v>
      </c>
      <c r="AQ31" s="354">
        <f t="shared" si="63"/>
        <v>0.16492198301402317</v>
      </c>
      <c r="AR31" s="139">
        <f t="shared" si="63"/>
        <v>0.14076576576576572</v>
      </c>
      <c r="AS31" s="354">
        <f t="shared" si="63"/>
        <v>8.409630383180744E-2</v>
      </c>
      <c r="AT31" s="139">
        <f t="shared" si="63"/>
        <v>-4.9358341559723629E-2</v>
      </c>
      <c r="AU31" s="354">
        <f t="shared" si="63"/>
        <v>0.11870503597122295</v>
      </c>
      <c r="AV31" s="398">
        <f t="shared" si="63"/>
        <v>-0.29768085842852188</v>
      </c>
      <c r="AW31" s="354">
        <f t="shared" si="63"/>
        <v>-7.6331609115056653E-2</v>
      </c>
      <c r="AX31" s="398">
        <f t="shared" ref="AX31" si="64">AX30/AV30-1</f>
        <v>0.72548053228191223</v>
      </c>
      <c r="AY31" s="354">
        <f t="shared" ref="AY31" si="65">AY30/AW30-1</f>
        <v>0.20977750870289102</v>
      </c>
      <c r="AZ31" s="398">
        <v>-0.21251071122536502</v>
      </c>
      <c r="BA31" s="354">
        <v>-0.11947954460152632</v>
      </c>
      <c r="BB31" s="398" t="s">
        <v>83</v>
      </c>
      <c r="BC31" s="354">
        <v>0.35493037794828086</v>
      </c>
      <c r="BD31" s="354">
        <v>1.6E-2</v>
      </c>
      <c r="BE31" s="354"/>
      <c r="BF31" s="53"/>
      <c r="BG31" s="474"/>
    </row>
    <row r="32" spans="1:59" s="53" customFormat="1">
      <c r="A32" s="92" t="s">
        <v>34</v>
      </c>
      <c r="B32" s="169">
        <v>650.9</v>
      </c>
      <c r="C32" s="169">
        <f>+C16+C21</f>
        <v>57</v>
      </c>
      <c r="D32" s="170">
        <f>+D16+D21</f>
        <v>264.79999999999995</v>
      </c>
      <c r="E32" s="170">
        <f>+E16+E21</f>
        <v>301</v>
      </c>
      <c r="F32" s="171">
        <f>+F16+F21</f>
        <v>63.800000000000068</v>
      </c>
      <c r="G32" s="170">
        <f>SUM(C32:F32)</f>
        <v>686.6</v>
      </c>
      <c r="H32" s="196">
        <f>+H16+H21</f>
        <v>27.699999999999932</v>
      </c>
      <c r="I32" s="172">
        <f>+I16+I21</f>
        <v>220.99999999999977</v>
      </c>
      <c r="J32" s="172">
        <f>+J16+J21</f>
        <v>219.60000000000002</v>
      </c>
      <c r="K32" s="173">
        <f>+K16+K21</f>
        <v>73.000000000000227</v>
      </c>
      <c r="L32" s="173">
        <f>SUM(H32:K32)</f>
        <v>541.29999999999995</v>
      </c>
      <c r="M32" s="172">
        <f t="shared" ref="M32:U32" si="66">+M16+M21</f>
        <v>71.499999999999943</v>
      </c>
      <c r="N32" s="179">
        <f t="shared" si="66"/>
        <v>522.75363560000096</v>
      </c>
      <c r="O32" s="196">
        <f t="shared" si="66"/>
        <v>-1.5999999999999659</v>
      </c>
      <c r="P32" s="172">
        <f t="shared" si="66"/>
        <v>193.29999999999995</v>
      </c>
      <c r="Q32" s="172">
        <f t="shared" si="66"/>
        <v>220.59999999999991</v>
      </c>
      <c r="R32" s="172">
        <f t="shared" si="66"/>
        <v>52.899999999999693</v>
      </c>
      <c r="S32" s="179">
        <f t="shared" si="66"/>
        <v>465.19999999999982</v>
      </c>
      <c r="T32" s="196">
        <f t="shared" si="66"/>
        <v>-1.0822807299999226</v>
      </c>
      <c r="U32" s="172">
        <f t="shared" si="66"/>
        <v>187.79999999999973</v>
      </c>
      <c r="V32" s="172">
        <f>T32+U32</f>
        <v>186.7177192699998</v>
      </c>
      <c r="W32" s="172">
        <f>+W16+W21</f>
        <v>210.78228072999855</v>
      </c>
      <c r="X32" s="172">
        <f>+X16+X21</f>
        <v>55.596941000000015</v>
      </c>
      <c r="Y32" s="179">
        <f>+Y16+Y21</f>
        <v>453.09694099999842</v>
      </c>
      <c r="Z32" s="196">
        <f>+Z16+Z21</f>
        <v>-0.97999999999984766</v>
      </c>
      <c r="AA32" s="172">
        <f>+AA16+AA21</f>
        <v>179.1799999999995</v>
      </c>
      <c r="AB32" s="172">
        <f>Z32+AA32</f>
        <v>178.19999999999965</v>
      </c>
      <c r="AC32" s="172">
        <f>+AC16+AC21</f>
        <v>207.40000000000032</v>
      </c>
      <c r="AD32" s="172">
        <f>+AD16+AD21</f>
        <v>68.309003519999919</v>
      </c>
      <c r="AE32" s="179">
        <f>+AE16+AE21</f>
        <v>453.90900351999994</v>
      </c>
      <c r="AF32" s="196">
        <f>+AF16+AF21</f>
        <v>-26.789634240000055</v>
      </c>
      <c r="AG32" s="172">
        <f>+AG16+AG21</f>
        <v>193.68963424000003</v>
      </c>
      <c r="AH32" s="172">
        <f>AF32+AG32</f>
        <v>166.89999999999998</v>
      </c>
      <c r="AI32" s="172">
        <f>+AI16+AI21</f>
        <v>200.89999999999975</v>
      </c>
      <c r="AJ32" s="172">
        <f>+AJ16+AJ21</f>
        <v>56.900000000000091</v>
      </c>
      <c r="AK32" s="179">
        <f>+AK16+AK21</f>
        <v>424.69999999999936</v>
      </c>
      <c r="AL32" s="196">
        <v>219.00000000000011</v>
      </c>
      <c r="AM32" s="179">
        <v>473.2</v>
      </c>
      <c r="AN32" s="196">
        <v>229.6</v>
      </c>
      <c r="AO32" s="179">
        <v>517.5</v>
      </c>
      <c r="AP32" s="196">
        <v>291.10000000000002</v>
      </c>
      <c r="AQ32" s="179">
        <v>621</v>
      </c>
      <c r="AR32" s="196">
        <v>310.5</v>
      </c>
      <c r="AS32" s="179">
        <v>680.7</v>
      </c>
      <c r="AT32" s="196">
        <v>325.10000000000002</v>
      </c>
      <c r="AU32" s="179">
        <v>758.7</v>
      </c>
      <c r="AV32" s="397">
        <v>208.8</v>
      </c>
      <c r="AW32" s="179">
        <v>672.3</v>
      </c>
      <c r="AX32" s="397">
        <v>350.3</v>
      </c>
      <c r="AY32" s="179">
        <v>831</v>
      </c>
      <c r="AZ32" s="397">
        <v>462.49999999999966</v>
      </c>
      <c r="BA32" s="179">
        <v>929.7</v>
      </c>
      <c r="BB32" s="397">
        <v>560.70000000000005</v>
      </c>
      <c r="BC32" s="179">
        <v>1083.8</v>
      </c>
      <c r="BD32" s="179">
        <v>564.1</v>
      </c>
      <c r="BE32" s="179"/>
      <c r="BG32" s="474"/>
    </row>
    <row r="33" spans="1:59" s="54" customFormat="1">
      <c r="A33" s="351" t="s">
        <v>141</v>
      </c>
      <c r="B33" s="352">
        <v>-1.4235953354535757E-2</v>
      </c>
      <c r="C33" s="352">
        <f>+C32/41.2-1</f>
        <v>0.38349514563106779</v>
      </c>
      <c r="D33" s="138">
        <f>+D32/268.9-1</f>
        <v>-1.5247303830420278E-2</v>
      </c>
      <c r="E33" s="138">
        <f>+E32/280.5-1</f>
        <v>7.3083778966131829E-2</v>
      </c>
      <c r="F33" s="353">
        <f>+F32/60.3-1</f>
        <v>5.8043117744611461E-2</v>
      </c>
      <c r="G33" s="138">
        <f>G32/B32-1</f>
        <v>5.4847134736518699E-2</v>
      </c>
      <c r="H33" s="139">
        <f>IF(H32*C32&lt;=0,"n/a",IF((H32-C32)/C32&gt;100%,"&gt;100%",(H32-C32)/C32))</f>
        <v>-0.5140350877192994</v>
      </c>
      <c r="I33" s="138">
        <f>IF(I32*D32&lt;=0,"n/a",IF((I32-D32)/D32&gt;100%,"&gt;100%",(I32-D32)/D32))</f>
        <v>-0.16540785498489496</v>
      </c>
      <c r="J33" s="138">
        <f>IF(J32*E32&lt;=0,"n/a",IF((J32-E32)/E32&gt;100%,"&gt;100%",(J32-E32)/E32))</f>
        <v>-0.27043189368770759</v>
      </c>
      <c r="K33" s="353">
        <f>IF(K32*F32&lt;=0,"n/a",IF((K32-F32)/F32&gt;100%,"&gt;100%",(K32-F32)/F32))</f>
        <v>0.14420062695924998</v>
      </c>
      <c r="L33" s="353">
        <f>IF(L32*G32&lt;=0,"n/a",IF((L32-G32)/G32&gt;100%,"&gt;100%",(L32-G32)/G32))</f>
        <v>-0.2116224876201574</v>
      </c>
      <c r="M33" s="353">
        <f t="shared" ref="M33:S33" si="67">IF(M32*F32&lt;=0,"n/a",IF((M32-F32)/F32&gt;100%,"&gt;100%",(M32-F32)/F32))</f>
        <v>0.1206896551724117</v>
      </c>
      <c r="N33" s="140">
        <f t="shared" si="67"/>
        <v>-0.23863437867754014</v>
      </c>
      <c r="O33" s="139" t="str">
        <f t="shared" si="67"/>
        <v>n/a</v>
      </c>
      <c r="P33" s="138">
        <f t="shared" si="67"/>
        <v>-0.12533936651583641</v>
      </c>
      <c r="Q33" s="138">
        <f t="shared" si="67"/>
        <v>4.553734061930265E-3</v>
      </c>
      <c r="R33" s="353">
        <f t="shared" si="67"/>
        <v>-0.27534246575343113</v>
      </c>
      <c r="S33" s="354">
        <f t="shared" si="67"/>
        <v>-0.14058747459818982</v>
      </c>
      <c r="T33" s="139" t="s">
        <v>61</v>
      </c>
      <c r="U33" s="138" t="s">
        <v>61</v>
      </c>
      <c r="V33" s="138"/>
      <c r="W33" s="138" t="s">
        <v>61</v>
      </c>
      <c r="X33" s="353">
        <f>IF(X32*M32&lt;=0,"n/a",IF((X32-M32)/M32&gt;100%,"&gt;100%",(X32-M32)/M32))</f>
        <v>-0.22242040559440476</v>
      </c>
      <c r="Y33" s="354">
        <f>IF(Y32*N32&lt;=0,"n/a",IF((Y32-N32)/N32&gt;100%,"&gt;100%",(Y32-N32)/N32))</f>
        <v>-0.13324956510355526</v>
      </c>
      <c r="Z33" s="139">
        <f>IF(Z32*T32&lt;=0,"n/a",IF((Z32-T32)/T32&gt;100%,"&gt;100%",(Z32-T32)/T32))</f>
        <v>-9.4504805606288766E-2</v>
      </c>
      <c r="AA33" s="138">
        <f>IF(OR(((AA32-U32)/U32)&gt;=100%,((AA32-U32)/U32)&lt;=-100%),"&gt;100%",((AA32-U32)/ABS(U32)))</f>
        <v>-4.5899893503728674E-2</v>
      </c>
      <c r="AB33" s="138">
        <f>IF(OR(((AB32-V32)/V32)&gt;=100%,((AB32-V32)/V32)&lt;=-100%),"&gt;100%",((AB32-V32)/ABS(V32)))</f>
        <v>-4.561816255736962E-2</v>
      </c>
      <c r="AC33" s="138">
        <f t="shared" ref="AC33:AI33" si="68">IF(AC32*W32&lt;=0,"n/a",IF((AC32-W32)/W32&gt;100%,"&gt;100%",(AC32-W32)/W32))</f>
        <v>-1.604632380997319E-2</v>
      </c>
      <c r="AD33" s="353">
        <f t="shared" si="68"/>
        <v>0.22864679767183416</v>
      </c>
      <c r="AE33" s="354">
        <f t="shared" si="68"/>
        <v>1.7922489571641606E-3</v>
      </c>
      <c r="AF33" s="139" t="str">
        <f t="shared" si="68"/>
        <v>&gt;100%</v>
      </c>
      <c r="AG33" s="138">
        <f t="shared" si="68"/>
        <v>8.0977978792279151E-2</v>
      </c>
      <c r="AH33" s="138">
        <f t="shared" si="68"/>
        <v>-6.3411896745228361E-2</v>
      </c>
      <c r="AI33" s="138">
        <f t="shared" si="68"/>
        <v>-3.1340405014467498E-2</v>
      </c>
      <c r="AJ33" s="353">
        <f>IF(OR(((AJ32-AD32)/AD32)&gt;=100%,((AJ32-AD32)/AD32)&lt;=-100%),"&gt;100%",((AJ32-AD32)/ABS(AD32)))</f>
        <v>-0.16702049410894176</v>
      </c>
      <c r="AK33" s="354">
        <f>IF(OR(((AK32-AE32)/AE32)&gt;=100%,((AK32-AE32)/AE32)&lt;=-100%),"&gt;100%",((AK32-AE32)/ABS(AE32)))</f>
        <v>-6.4349909989643073E-2</v>
      </c>
      <c r="AL33" s="139">
        <f>IF(AL32*AH32&lt;=0,"n/a",IF((AL32-AH32)/AH32&gt;100%,"&gt;100%",(AL32-AH32)/AH32))</f>
        <v>0.31216297183942565</v>
      </c>
      <c r="AM33" s="354">
        <f>IF(AM32*AK32&lt;=0,"n/a",IF((AM32-AK32)/AK32&gt;100%,"&gt;100%",(AM32-AK32)/AK32))</f>
        <v>0.11419825759359713</v>
      </c>
      <c r="AN33" s="139">
        <f t="shared" ref="AN33:AW33" si="69">AN32/AL32-1</f>
        <v>4.8401826484017585E-2</v>
      </c>
      <c r="AO33" s="354">
        <f t="shared" si="69"/>
        <v>9.361792054099749E-2</v>
      </c>
      <c r="AP33" s="139">
        <f t="shared" si="69"/>
        <v>0.26785714285714302</v>
      </c>
      <c r="AQ33" s="354">
        <f t="shared" si="69"/>
        <v>0.19999999999999996</v>
      </c>
      <c r="AR33" s="139">
        <f t="shared" si="69"/>
        <v>6.6643765029199553E-2</v>
      </c>
      <c r="AS33" s="354">
        <f t="shared" si="69"/>
        <v>9.6135265700483252E-2</v>
      </c>
      <c r="AT33" s="139">
        <f t="shared" si="69"/>
        <v>4.7020933977455881E-2</v>
      </c>
      <c r="AU33" s="354">
        <f t="shared" si="69"/>
        <v>0.11458792419568087</v>
      </c>
      <c r="AV33" s="398">
        <f t="shared" si="69"/>
        <v>-0.35773608120578282</v>
      </c>
      <c r="AW33" s="354">
        <f t="shared" si="69"/>
        <v>-0.11387900355871894</v>
      </c>
      <c r="AX33" s="398">
        <f t="shared" ref="AX33" si="70">AX32/AV32-1</f>
        <v>0.67768199233716464</v>
      </c>
      <c r="AY33" s="354">
        <f t="shared" ref="AY33" si="71">AY32/AW32-1</f>
        <v>0.23605533244087473</v>
      </c>
      <c r="AZ33" s="398">
        <v>0.32029688838138637</v>
      </c>
      <c r="BA33" s="354">
        <v>0.11877256317689544</v>
      </c>
      <c r="BB33" s="398">
        <v>0.21199999999999999</v>
      </c>
      <c r="BC33" s="354">
        <v>0.1657523932451328</v>
      </c>
      <c r="BD33" s="354">
        <v>6.0000000000000001E-3</v>
      </c>
      <c r="BE33" s="354"/>
      <c r="BF33" s="53"/>
      <c r="BG33" s="474"/>
    </row>
    <row r="34" spans="1:59" s="53" customFormat="1">
      <c r="A34" s="92" t="s">
        <v>103</v>
      </c>
      <c r="B34" s="190"/>
      <c r="C34" s="190">
        <f t="shared" ref="C34:U34" si="72">C32/C8</f>
        <v>4.1394335511982572E-2</v>
      </c>
      <c r="D34" s="191">
        <f t="shared" si="72"/>
        <v>0.13769434766782798</v>
      </c>
      <c r="E34" s="191">
        <f t="shared" si="72"/>
        <v>0.15060542379665767</v>
      </c>
      <c r="F34" s="192">
        <f t="shared" si="72"/>
        <v>4.2678440029433447E-2</v>
      </c>
      <c r="G34" s="191">
        <f t="shared" si="72"/>
        <v>0.10106570890249647</v>
      </c>
      <c r="H34" s="197">
        <f t="shared" si="72"/>
        <v>1.9560765482663608E-2</v>
      </c>
      <c r="I34" s="191">
        <f t="shared" si="72"/>
        <v>0.11163871489189724</v>
      </c>
      <c r="J34" s="191">
        <f t="shared" si="72"/>
        <v>0.11379417556223444</v>
      </c>
      <c r="K34" s="192">
        <f t="shared" si="72"/>
        <v>4.7749869178440749E-2</v>
      </c>
      <c r="L34" s="192">
        <f t="shared" si="72"/>
        <v>7.8972323942634537E-2</v>
      </c>
      <c r="M34" s="191">
        <f t="shared" si="72"/>
        <v>4.691293222229509E-2</v>
      </c>
      <c r="N34" s="193">
        <f t="shared" si="72"/>
        <v>7.6601795876500289E-2</v>
      </c>
      <c r="O34" s="197">
        <f t="shared" si="72"/>
        <v>-1.1138183083884204E-3</v>
      </c>
      <c r="P34" s="191">
        <f t="shared" si="72"/>
        <v>9.6863098817398255E-2</v>
      </c>
      <c r="Q34" s="191">
        <f t="shared" si="72"/>
        <v>0.10833374257231249</v>
      </c>
      <c r="R34" s="192">
        <f t="shared" si="72"/>
        <v>3.285918380023585E-2</v>
      </c>
      <c r="S34" s="193">
        <f t="shared" si="72"/>
        <v>6.572199539437433E-2</v>
      </c>
      <c r="T34" s="197">
        <f t="shared" si="72"/>
        <v>-7.5504446072270311E-4</v>
      </c>
      <c r="U34" s="191">
        <f t="shared" si="72"/>
        <v>9.4576219972805436E-2</v>
      </c>
      <c r="V34" s="191"/>
      <c r="W34" s="191">
        <f t="shared" ref="W34:AR34" si="73">W32/W8</f>
        <v>0.10430635428048229</v>
      </c>
      <c r="X34" s="191">
        <f t="shared" si="73"/>
        <v>3.4644155658025921E-2</v>
      </c>
      <c r="Y34" s="193">
        <f t="shared" si="73"/>
        <v>6.431742174968394E-2</v>
      </c>
      <c r="Z34" s="197">
        <f t="shared" si="73"/>
        <v>-6.8440533556801979E-4</v>
      </c>
      <c r="AA34" s="191">
        <f t="shared" si="73"/>
        <v>9.1924892263492458E-2</v>
      </c>
      <c r="AB34" s="191">
        <f t="shared" si="73"/>
        <v>5.2704741060601475E-2</v>
      </c>
      <c r="AC34" s="191">
        <f t="shared" si="73"/>
        <v>0.10811656153886272</v>
      </c>
      <c r="AD34" s="191">
        <f t="shared" si="73"/>
        <v>4.3381813489140039E-2</v>
      </c>
      <c r="AE34" s="193">
        <f t="shared" si="73"/>
        <v>6.603273254582484E-2</v>
      </c>
      <c r="AF34" s="197">
        <f t="shared" si="73"/>
        <v>-2.0125936623844983E-2</v>
      </c>
      <c r="AG34" s="191">
        <f t="shared" si="73"/>
        <v>0.10458403576673868</v>
      </c>
      <c r="AH34" s="191">
        <f t="shared" si="73"/>
        <v>5.2433162640193515E-2</v>
      </c>
      <c r="AI34" s="191">
        <f t="shared" si="73"/>
        <v>0.1105607836662813</v>
      </c>
      <c r="AJ34" s="191">
        <f t="shared" si="73"/>
        <v>3.768211920529807E-2</v>
      </c>
      <c r="AK34" s="193">
        <f t="shared" si="73"/>
        <v>6.5236091057110285E-2</v>
      </c>
      <c r="AL34" s="197">
        <f t="shared" si="73"/>
        <v>6.9503951252023272E-2</v>
      </c>
      <c r="AM34" s="193">
        <f t="shared" si="73"/>
        <v>7.4565481161658329E-2</v>
      </c>
      <c r="AN34" s="197">
        <f t="shared" si="73"/>
        <v>7.5429547619829826E-2</v>
      </c>
      <c r="AO34" s="193">
        <f t="shared" si="73"/>
        <v>8.3212337497354003E-2</v>
      </c>
      <c r="AP34" s="197">
        <f t="shared" si="73"/>
        <v>9.0589406858778865E-2</v>
      </c>
      <c r="AQ34" s="193">
        <f t="shared" si="73"/>
        <v>9.5216191352345908E-2</v>
      </c>
      <c r="AR34" s="197">
        <f t="shared" si="73"/>
        <v>9.6180652355729021E-2</v>
      </c>
      <c r="AS34" s="193">
        <v>0.10199999999999999</v>
      </c>
      <c r="AT34" s="197">
        <f>AT32/AT8</f>
        <v>9.697530127669729E-2</v>
      </c>
      <c r="AU34" s="193">
        <f>AU32/AU8</f>
        <v>0.10798462852263024</v>
      </c>
      <c r="AV34" s="399">
        <v>7.3749646792879348E-2</v>
      </c>
      <c r="AW34" s="193">
        <f>AW32/AW8</f>
        <v>0.1096415408199876</v>
      </c>
      <c r="AX34" s="197">
        <f>AX32/AX8</f>
        <v>0.10785430585917054</v>
      </c>
      <c r="AY34" s="193">
        <f>AY32/AY8</f>
        <v>0.11592545058869483</v>
      </c>
      <c r="AZ34" s="197">
        <v>0.10986009168863861</v>
      </c>
      <c r="BA34" s="193">
        <v>0.10107192555226997</v>
      </c>
      <c r="BB34" s="197">
        <f>BB32/BB8</f>
        <v>0.11165986259085932</v>
      </c>
      <c r="BC34" s="193">
        <v>0.10642183817753338</v>
      </c>
      <c r="BD34" s="193">
        <v>0.109</v>
      </c>
      <c r="BE34" s="193"/>
      <c r="BG34" s="474"/>
    </row>
    <row r="35" spans="1:59" s="53" customFormat="1">
      <c r="A35" s="92" t="s">
        <v>105</v>
      </c>
      <c r="B35" s="169">
        <v>-72.8</v>
      </c>
      <c r="C35" s="169">
        <v>-17</v>
      </c>
      <c r="D35" s="170">
        <v>-17.3</v>
      </c>
      <c r="E35" s="170">
        <v>-20.2</v>
      </c>
      <c r="F35" s="171">
        <v>-21.2</v>
      </c>
      <c r="G35" s="170">
        <f>SUM(C35:F35)</f>
        <v>-75.7</v>
      </c>
      <c r="H35" s="196">
        <v>-19.100000000000001</v>
      </c>
      <c r="I35" s="172">
        <v>-24.1</v>
      </c>
      <c r="J35" s="172">
        <v>-20.8</v>
      </c>
      <c r="K35" s="173">
        <v>-30.1</v>
      </c>
      <c r="L35" s="173">
        <f>SUM(H35:K35)</f>
        <v>-94.1</v>
      </c>
      <c r="M35" s="172">
        <v>-30.3</v>
      </c>
      <c r="N35" s="179">
        <v>-95.2</v>
      </c>
      <c r="O35" s="196">
        <v>-21.7</v>
      </c>
      <c r="P35" s="172">
        <v>-22.3</v>
      </c>
      <c r="Q35" s="172">
        <v>-24.4</v>
      </c>
      <c r="R35" s="172">
        <f>S35-Q35-P35-O35</f>
        <v>-22.300000000000015</v>
      </c>
      <c r="S35" s="179">
        <v>-90.7</v>
      </c>
      <c r="T35" s="196">
        <v>-21.8</v>
      </c>
      <c r="U35" s="172">
        <v>-22</v>
      </c>
      <c r="V35" s="172">
        <f>T35+U35</f>
        <v>-43.8</v>
      </c>
      <c r="W35" s="172">
        <f>Y35-U35-T35-X35</f>
        <v>-24.6</v>
      </c>
      <c r="X35" s="172">
        <v>-22.300000000000004</v>
      </c>
      <c r="Y35" s="179">
        <v>-90.7</v>
      </c>
      <c r="Z35" s="196">
        <v>-19.7</v>
      </c>
      <c r="AA35" s="172">
        <v>-29.700000000000003</v>
      </c>
      <c r="AB35" s="172">
        <f>Z35+AA35</f>
        <v>-49.400000000000006</v>
      </c>
      <c r="AC35" s="172">
        <v>-18.599999999999994</v>
      </c>
      <c r="AD35" s="172">
        <v>-23.500000000000007</v>
      </c>
      <c r="AE35" s="179">
        <v>-91.5</v>
      </c>
      <c r="AF35" s="196">
        <v>-20.5</v>
      </c>
      <c r="AG35" s="172">
        <v>-18.399999999999999</v>
      </c>
      <c r="AH35" s="172">
        <f>AF35+AG35</f>
        <v>-38.9</v>
      </c>
      <c r="AI35" s="172">
        <v>-15.599999999999996</v>
      </c>
      <c r="AJ35" s="172">
        <v>-18.400000000000009</v>
      </c>
      <c r="AK35" s="179">
        <v>-72.900000000000006</v>
      </c>
      <c r="AL35" s="196">
        <v>-37.200000000000003</v>
      </c>
      <c r="AM35" s="179">
        <v>-68.2</v>
      </c>
      <c r="AN35" s="196">
        <v>-35</v>
      </c>
      <c r="AO35" s="179">
        <v>-62.3</v>
      </c>
      <c r="AP35" s="196">
        <v>-17.5</v>
      </c>
      <c r="AQ35" s="179">
        <v>-36.700000000000003</v>
      </c>
      <c r="AR35" s="196">
        <v>-19.100000000000001</v>
      </c>
      <c r="AS35" s="179">
        <v>-41.3</v>
      </c>
      <c r="AT35" s="196">
        <v>-32.799999999999997</v>
      </c>
      <c r="AU35" s="179">
        <v>-67.099999999999994</v>
      </c>
      <c r="AV35" s="397">
        <v>-36.200000000000003</v>
      </c>
      <c r="AW35" s="179">
        <v>-70.099999999999994</v>
      </c>
      <c r="AX35" s="397">
        <v>-34.700000000000003</v>
      </c>
      <c r="AY35" s="179">
        <v>-67.599999999999994</v>
      </c>
      <c r="AZ35" s="397">
        <v>-42.7</v>
      </c>
      <c r="BA35" s="179">
        <v>-82.7</v>
      </c>
      <c r="BB35" s="397">
        <v>-31.4</v>
      </c>
      <c r="BC35" s="179">
        <v>-48.3</v>
      </c>
      <c r="BD35" s="179">
        <v>-46.4</v>
      </c>
      <c r="BE35" s="179"/>
      <c r="BG35" s="474"/>
    </row>
    <row r="36" spans="1:59" s="54" customFormat="1">
      <c r="A36" s="351" t="s">
        <v>141</v>
      </c>
      <c r="B36" s="352">
        <v>-0.32841328413284143</v>
      </c>
      <c r="C36" s="352">
        <f>+C35/-25.3-1</f>
        <v>-0.32806324110671936</v>
      </c>
      <c r="D36" s="138">
        <f>+D35/-18.2-1</f>
        <v>-4.9450549450549386E-2</v>
      </c>
      <c r="E36" s="138">
        <v>0.41299999999999998</v>
      </c>
      <c r="F36" s="353">
        <v>0.41299999999999998</v>
      </c>
      <c r="G36" s="138">
        <f>G35/B35-1</f>
        <v>3.9835164835164916E-2</v>
      </c>
      <c r="H36" s="139">
        <f>IF(H35*C35&lt;=0,"n/a",IF((H35-C35)/C35&gt;100%,"&gt;100%",(H35-C35)/C35))</f>
        <v>0.12352941176470597</v>
      </c>
      <c r="I36" s="138">
        <f>IF(I35*D35&lt;=0,"n/a",IF((I35-D35)/D35&gt;100%,"&gt;100%",(I35-D35)/D35))</f>
        <v>0.39306358381502893</v>
      </c>
      <c r="J36" s="138">
        <f>IF(J35*E35&lt;=0,"n/a",IF((J35-E35)/E35&gt;100%,"&gt;100%",(J35-E35)/E35))</f>
        <v>2.9702970297029774E-2</v>
      </c>
      <c r="K36" s="353">
        <f>IF(K35*F35&lt;=0,"n/a",IF((K35-F35)/F35&gt;100%,"&gt;100%",(K35-F35)/F35))</f>
        <v>0.41981132075471711</v>
      </c>
      <c r="L36" s="353">
        <f>IF(L35*G35&lt;=0,"n/a",IF((L35-G35)/G35&gt;100%,"&gt;100%",(L35-G35)/G35))</f>
        <v>0.24306472919418745</v>
      </c>
      <c r="M36" s="353">
        <f t="shared" ref="M36:S36" si="74">IF(M35*F35&lt;=0,"n/a",IF((M35-F35)/F35&gt;100%,"&gt;100%",(M35-F35)/F35))</f>
        <v>0.429245283018868</v>
      </c>
      <c r="N36" s="140">
        <f t="shared" si="74"/>
        <v>0.25759577278731838</v>
      </c>
      <c r="O36" s="139">
        <f t="shared" si="74"/>
        <v>0.13612565445026165</v>
      </c>
      <c r="P36" s="138">
        <f t="shared" si="74"/>
        <v>-7.4688796680497951E-2</v>
      </c>
      <c r="Q36" s="138">
        <f t="shared" si="74"/>
        <v>0.17307692307692296</v>
      </c>
      <c r="R36" s="353">
        <f t="shared" si="74"/>
        <v>-0.25913621262458425</v>
      </c>
      <c r="S36" s="354">
        <f t="shared" si="74"/>
        <v>-3.6131774707757615E-2</v>
      </c>
      <c r="T36" s="139" t="s">
        <v>61</v>
      </c>
      <c r="U36" s="138" t="s">
        <v>61</v>
      </c>
      <c r="V36" s="138"/>
      <c r="W36" s="138" t="s">
        <v>61</v>
      </c>
      <c r="X36" s="353">
        <f>IF(X35*M35&lt;=0,"n/a",IF((X35-M35)/M35&gt;100%,"&gt;100%",(X35-M35)/M35))</f>
        <v>-0.26402640264026389</v>
      </c>
      <c r="Y36" s="354">
        <f>IF(Y35*N35&lt;=0,"n/a",IF((Y35-N35)/N35&gt;100%,"&gt;100%",(Y35-N35)/N35))</f>
        <v>-4.7268907563025209E-2</v>
      </c>
      <c r="Z36" s="139">
        <f>IF(Z35*T35&lt;=0,"n/a",IF((Z35-T35)/T35&gt;100%,"&gt;100%",(Z35-T35)/T35))</f>
        <v>-9.6330275229357859E-2</v>
      </c>
      <c r="AA36" s="138">
        <f>IF(OR(((AA35-U35)/U35)&gt;=100%,((AA35-U35)/U35)&lt;=-100%),"&gt;100%",((AA35-U35)/ABS(U35)))</f>
        <v>-0.35000000000000014</v>
      </c>
      <c r="AB36" s="138">
        <f>IF(OR(((AB35-V35)/V35)&gt;=100%,((AB35-V35)/V35)&lt;=-100%),"&gt;100%",((AB35-V35)/ABS(V35)))</f>
        <v>-0.12785388127853903</v>
      </c>
      <c r="AC36" s="138">
        <f t="shared" ref="AC36:AI36" si="75">IF(AC35*W35&lt;=0,"n/a",IF((AC35-W35)/W35&gt;100%,"&gt;100%",(AC35-W35)/W35))</f>
        <v>-0.24390243902439052</v>
      </c>
      <c r="AD36" s="353">
        <f t="shared" si="75"/>
        <v>5.3811659192825226E-2</v>
      </c>
      <c r="AE36" s="354">
        <f t="shared" si="75"/>
        <v>8.8202866593163967E-3</v>
      </c>
      <c r="AF36" s="139">
        <f t="shared" si="75"/>
        <v>4.0609137055837602E-2</v>
      </c>
      <c r="AG36" s="138">
        <f t="shared" si="75"/>
        <v>-0.38047138047138057</v>
      </c>
      <c r="AH36" s="138">
        <f t="shared" si="75"/>
        <v>-0.21255060728744951</v>
      </c>
      <c r="AI36" s="138">
        <f t="shared" si="75"/>
        <v>-0.1612903225806451</v>
      </c>
      <c r="AJ36" s="353">
        <f>IF(OR(((AJ35-AD35)/AD35)&gt;=100%,((AJ35-AD35)/AD35)&lt;=-100%),"&gt;100%",((AJ35-AD35)/ABS(AD35)))</f>
        <v>0.21702127659574452</v>
      </c>
      <c r="AK36" s="354">
        <f>IF(OR(((AK35-AE35)/AE35)&gt;=100%,((AK35-AE35)/AE35)&lt;=-100%),"&gt;100%",((AK35-AE35)/ABS(AE35)))</f>
        <v>0.20327868852459011</v>
      </c>
      <c r="AL36" s="139">
        <f>IF(AL35*AH35&lt;=0,"n/a",IF((AL35-AH35)/AH35&gt;100%,"&gt;100%",(AL35-AH35)/AH35))</f>
        <v>-4.3701799485861073E-2</v>
      </c>
      <c r="AM36" s="354">
        <f>IF(AM35*AK35&lt;=0,"n/a",IF((AM35-AK35)/AK35&gt;100%,"&gt;100%",(AM35-AK35)/AK35))</f>
        <v>-6.4471879286694136E-2</v>
      </c>
      <c r="AN36" s="139">
        <f t="shared" ref="AN36:AW38" si="76">AN35/AL35-1</f>
        <v>-5.9139784946236618E-2</v>
      </c>
      <c r="AO36" s="354">
        <f t="shared" si="76"/>
        <v>-8.6510263929618803E-2</v>
      </c>
      <c r="AP36" s="139">
        <f t="shared" si="76"/>
        <v>-0.5</v>
      </c>
      <c r="AQ36" s="354">
        <f t="shared" si="76"/>
        <v>-0.41091492776886029</v>
      </c>
      <c r="AR36" s="139">
        <f t="shared" si="76"/>
        <v>9.1428571428571415E-2</v>
      </c>
      <c r="AS36" s="354">
        <f t="shared" si="76"/>
        <v>0.12534059945504072</v>
      </c>
      <c r="AT36" s="139">
        <f t="shared" si="76"/>
        <v>0.71727748691099458</v>
      </c>
      <c r="AU36" s="354">
        <f t="shared" si="76"/>
        <v>0.62469733656174342</v>
      </c>
      <c r="AV36" s="398">
        <f t="shared" si="76"/>
        <v>0.10365853658536595</v>
      </c>
      <c r="AW36" s="354">
        <f t="shared" si="76"/>
        <v>4.4709388971684083E-2</v>
      </c>
      <c r="AX36" s="398">
        <f t="shared" ref="AX36" si="77">AX35/AV35-1</f>
        <v>-4.143646408839774E-2</v>
      </c>
      <c r="AY36" s="354">
        <f t="shared" ref="AY36" si="78">AY35/AW35-1</f>
        <v>-3.5663338088445129E-2</v>
      </c>
      <c r="AZ36" s="398">
        <v>0.2305475504322767</v>
      </c>
      <c r="BA36" s="354">
        <v>0.22337278106508895</v>
      </c>
      <c r="BB36" s="398">
        <v>-0.26500000000000001</v>
      </c>
      <c r="BC36" s="354">
        <v>-0.41596130592503033</v>
      </c>
      <c r="BD36" s="354">
        <v>0.47799999999999998</v>
      </c>
      <c r="BE36" s="354"/>
      <c r="BF36" s="53"/>
      <c r="BG36" s="474"/>
    </row>
    <row r="37" spans="1:59" s="53" customFormat="1">
      <c r="A37" s="440" t="s">
        <v>92</v>
      </c>
      <c r="B37" s="441">
        <v>-1.9</v>
      </c>
      <c r="C37" s="441">
        <v>0.2</v>
      </c>
      <c r="D37" s="442">
        <v>1.8</v>
      </c>
      <c r="E37" s="442">
        <v>0.5</v>
      </c>
      <c r="F37" s="443">
        <v>0</v>
      </c>
      <c r="G37" s="442">
        <f>SUM(C37:F37)</f>
        <v>2.5</v>
      </c>
      <c r="H37" s="444">
        <v>-0.3</v>
      </c>
      <c r="I37" s="445">
        <v>-0.5</v>
      </c>
      <c r="J37" s="445">
        <v>3</v>
      </c>
      <c r="K37" s="446">
        <v>-1.0000000000000002</v>
      </c>
      <c r="L37" s="446">
        <f>SUM(H37:K37)</f>
        <v>1.2</v>
      </c>
      <c r="M37" s="445">
        <v>-1.5</v>
      </c>
      <c r="N37" s="447">
        <v>9.3999999999999986</v>
      </c>
      <c r="O37" s="444">
        <v>0.1</v>
      </c>
      <c r="P37" s="445">
        <v>0.8</v>
      </c>
      <c r="Q37" s="445">
        <v>1</v>
      </c>
      <c r="R37" s="445">
        <f>S37-Q37-P37-O37</f>
        <v>0.49999999999999989</v>
      </c>
      <c r="S37" s="447">
        <v>2.4</v>
      </c>
      <c r="T37" s="444">
        <v>0</v>
      </c>
      <c r="U37" s="445">
        <v>4.1000000000000005</v>
      </c>
      <c r="V37" s="445">
        <f>T37+U37</f>
        <v>4.1000000000000005</v>
      </c>
      <c r="W37" s="445">
        <f>Y37-U37-T37-X37</f>
        <v>9</v>
      </c>
      <c r="X37" s="445">
        <v>-1.5</v>
      </c>
      <c r="Y37" s="447">
        <v>11.6</v>
      </c>
      <c r="Z37" s="444">
        <v>0</v>
      </c>
      <c r="AA37" s="445">
        <v>4.4000000000000004</v>
      </c>
      <c r="AB37" s="445">
        <f>Z37+AA37</f>
        <v>4.4000000000000004</v>
      </c>
      <c r="AC37" s="445">
        <v>7</v>
      </c>
      <c r="AD37" s="445">
        <v>0.5</v>
      </c>
      <c r="AE37" s="447">
        <v>11.9</v>
      </c>
      <c r="AF37" s="444">
        <v>0.19999999999999998</v>
      </c>
      <c r="AG37" s="445">
        <v>3.8</v>
      </c>
      <c r="AH37" s="445">
        <f>AF37+AG37</f>
        <v>4</v>
      </c>
      <c r="AI37" s="445">
        <v>7.1</v>
      </c>
      <c r="AJ37" s="445">
        <v>52.699999999999996</v>
      </c>
      <c r="AK37" s="447">
        <v>63.8</v>
      </c>
      <c r="AL37" s="444">
        <v>2.8</v>
      </c>
      <c r="AM37" s="447">
        <v>7.1</v>
      </c>
      <c r="AN37" s="444">
        <v>5.3</v>
      </c>
      <c r="AO37" s="447">
        <v>13.8</v>
      </c>
      <c r="AP37" s="444">
        <v>5.3</v>
      </c>
      <c r="AQ37" s="447">
        <v>11.8</v>
      </c>
      <c r="AR37" s="444">
        <v>5.3</v>
      </c>
      <c r="AS37" s="447">
        <v>12.8</v>
      </c>
      <c r="AT37" s="444">
        <v>4.7</v>
      </c>
      <c r="AU37" s="447">
        <v>13</v>
      </c>
      <c r="AV37" s="448">
        <v>0</v>
      </c>
      <c r="AW37" s="447">
        <v>0</v>
      </c>
      <c r="AX37" s="448">
        <v>0</v>
      </c>
      <c r="AY37" s="449">
        <v>0</v>
      </c>
      <c r="AZ37" s="448">
        <v>0</v>
      </c>
      <c r="BA37" s="449"/>
      <c r="BB37" s="448"/>
      <c r="BC37" s="449"/>
      <c r="BD37" s="449"/>
      <c r="BE37" s="449"/>
      <c r="BG37" s="473"/>
    </row>
    <row r="38" spans="1:59" s="54" customFormat="1">
      <c r="A38" s="440" t="s">
        <v>141</v>
      </c>
      <c r="B38" s="441" t="s">
        <v>61</v>
      </c>
      <c r="C38" s="441" t="s">
        <v>61</v>
      </c>
      <c r="D38" s="442">
        <f>+D37/1.6-1</f>
        <v>0.125</v>
      </c>
      <c r="E38" s="442">
        <v>-0.68799999999999994</v>
      </c>
      <c r="F38" s="443" t="s">
        <v>61</v>
      </c>
      <c r="G38" s="442">
        <f>G37/B37-1</f>
        <v>-2.3157894736842106</v>
      </c>
      <c r="H38" s="444" t="str">
        <f>IF(H37*C37&lt;=0,"n/a",IF((H37-C37)/C37&gt;100%,"&gt;100%",(H37-C37)/C37))</f>
        <v>n/a</v>
      </c>
      <c r="I38" s="445" t="str">
        <f>IF(I37*D37&lt;=0,"n/a",IF((I37-D37)/D37&gt;100%,"&gt;100%",(I37-D37)/D37))</f>
        <v>n/a</v>
      </c>
      <c r="J38" s="445" t="str">
        <f>IF(J37*E37&lt;=0,"n/a",IF((J37-E37)/E37&gt;100%,"&gt;100%",(J37-E37)/E37))</f>
        <v>&gt;100%</v>
      </c>
      <c r="K38" s="446" t="str">
        <f>IF(K37*F37&lt;=0,"n/a",IF((K37-F37)/F37&gt;100%,"&gt;100%",(K37-F37)/F37))</f>
        <v>n/a</v>
      </c>
      <c r="L38" s="446">
        <f>IF(L37*G37&lt;=0,"n/a",IF((L37-G37)/G37&gt;100%,"&gt;100%",(L37-G37)/G37))</f>
        <v>-0.52</v>
      </c>
      <c r="M38" s="445" t="str">
        <f t="shared" ref="M38:S38" si="79">IF(M37*F37&lt;=0,"n/a",IF((M37-F37)/F37&gt;100%,"&gt;100%",(M37-F37)/F37))</f>
        <v>n/a</v>
      </c>
      <c r="N38" s="447" t="str">
        <f t="shared" si="79"/>
        <v>&gt;100%</v>
      </c>
      <c r="O38" s="444" t="str">
        <f t="shared" si="79"/>
        <v>n/a</v>
      </c>
      <c r="P38" s="445" t="str">
        <f t="shared" si="79"/>
        <v>n/a</v>
      </c>
      <c r="Q38" s="445">
        <f t="shared" si="79"/>
        <v>-0.66666666666666663</v>
      </c>
      <c r="R38" s="445" t="str">
        <f t="shared" si="79"/>
        <v>n/a</v>
      </c>
      <c r="S38" s="447">
        <f t="shared" si="79"/>
        <v>1</v>
      </c>
      <c r="T38" s="444" t="s">
        <v>61</v>
      </c>
      <c r="U38" s="445" t="s">
        <v>61</v>
      </c>
      <c r="V38" s="445"/>
      <c r="W38" s="445" t="s">
        <v>61</v>
      </c>
      <c r="X38" s="445">
        <f>IF(X37*M37&lt;=0,"n/a",IF((X37-M37)/M37&gt;100%,"&gt;100%",(X37-M37)/M37))</f>
        <v>0</v>
      </c>
      <c r="Y38" s="447">
        <f>IF(Y37*N37&lt;=0,"n/a",IF((Y37-N37)/N37&gt;100%,"&gt;100%",(Y37-N37)/N37))</f>
        <v>0.23404255319148951</v>
      </c>
      <c r="Z38" s="444" t="str">
        <f>IF(Z37*T37&lt;=0,"n/a",IF((Z37-T37)/T37&gt;100%,"&gt;100%",(Z37-T37)/T37))</f>
        <v>n/a</v>
      </c>
      <c r="AA38" s="445">
        <f>IF(OR(((AA37-U37)/U37)&gt;=100%,((AA37-U37)/U37)&lt;=-100%),"&gt;100%",((AA37-U37)/ABS(U37)))</f>
        <v>7.3170731707317027E-2</v>
      </c>
      <c r="AB38" s="445">
        <f>IF(OR(((AB37-V37)/V37)&gt;=100%,((AB37-V37)/V37)&lt;=-100%),"&gt;100%",((AB37-V37)/ABS(V37)))</f>
        <v>7.3170731707317027E-2</v>
      </c>
      <c r="AC38" s="445">
        <f t="shared" ref="AC38:AI38" si="80">IF(AC37*W37&lt;=0,"n/a",IF((AC37-W37)/W37&gt;100%,"&gt;100%",(AC37-W37)/W37))</f>
        <v>-0.22222222222222221</v>
      </c>
      <c r="AD38" s="445" t="str">
        <f t="shared" si="80"/>
        <v>n/a</v>
      </c>
      <c r="AE38" s="447">
        <f t="shared" si="80"/>
        <v>2.5862068965517303E-2</v>
      </c>
      <c r="AF38" s="444" t="str">
        <f t="shared" si="80"/>
        <v>n/a</v>
      </c>
      <c r="AG38" s="445">
        <f t="shared" si="80"/>
        <v>-0.13636363636363646</v>
      </c>
      <c r="AH38" s="445">
        <f t="shared" si="80"/>
        <v>-9.0909090909090981E-2</v>
      </c>
      <c r="AI38" s="445">
        <f t="shared" si="80"/>
        <v>1.4285714285714235E-2</v>
      </c>
      <c r="AJ38" s="445" t="str">
        <f>IF(OR(((AJ37-AD37)/AD37)&gt;=100%,((AJ37-AD37)/AD37)&lt;=-100%),"&gt;100%",((AJ37-AD37)/ABS(AD37)))</f>
        <v>&gt;100%</v>
      </c>
      <c r="AK38" s="447" t="str">
        <f>IF(OR(((AK37-AE37)/AE37)&gt;=100%,((AK37-AE37)/AE37)&lt;=-100%),"&gt;100%",((AK37-AE37)/ABS(AE37)))</f>
        <v>&gt;100%</v>
      </c>
      <c r="AL38" s="444">
        <f>IF(AL37*AH37&lt;=0,"n/a",IF((AL37-AH37)/AH37&gt;100%,"&gt;100%",(AL37-AH37)/AH37))</f>
        <v>-0.30000000000000004</v>
      </c>
      <c r="AM38" s="447">
        <f>IF(AM37*AK37&lt;=0,"n/a",IF((AM37-AK37)/AK37&gt;100%,"&gt;100%",(AM37-AK37)/AK37))</f>
        <v>-0.88871473354231967</v>
      </c>
      <c r="AN38" s="444">
        <f t="shared" ref="AN38:AT38" si="81">AN37/AL37-1</f>
        <v>0.89285714285714302</v>
      </c>
      <c r="AO38" s="447">
        <f t="shared" si="81"/>
        <v>0.94366197183098621</v>
      </c>
      <c r="AP38" s="444">
        <f t="shared" si="81"/>
        <v>0</v>
      </c>
      <c r="AQ38" s="447">
        <f t="shared" si="81"/>
        <v>-0.14492753623188404</v>
      </c>
      <c r="AR38" s="444">
        <f t="shared" si="81"/>
        <v>0</v>
      </c>
      <c r="AS38" s="447">
        <f t="shared" si="81"/>
        <v>8.4745762711864403E-2</v>
      </c>
      <c r="AT38" s="444">
        <f t="shared" si="81"/>
        <v>-0.1132075471698113</v>
      </c>
      <c r="AU38" s="447">
        <f t="shared" si="76"/>
        <v>1.5625E-2</v>
      </c>
      <c r="AV38" s="448">
        <f t="shared" si="76"/>
        <v>-1</v>
      </c>
      <c r="AW38" s="447">
        <f t="shared" si="76"/>
        <v>-1</v>
      </c>
      <c r="AX38" s="448" t="e">
        <f t="shared" ref="AX38" si="82">AX37/AV37-1</f>
        <v>#DIV/0!</v>
      </c>
      <c r="AY38" s="449" t="e">
        <f t="shared" ref="AY38" si="83">AY37/AW37-1</f>
        <v>#DIV/0!</v>
      </c>
      <c r="AZ38" s="448" t="e">
        <v>#DIV/0!</v>
      </c>
      <c r="BA38" s="449"/>
      <c r="BB38" s="448"/>
      <c r="BC38" s="449"/>
      <c r="BD38" s="449"/>
      <c r="BE38" s="449"/>
      <c r="BF38" s="53"/>
      <c r="BG38" s="473"/>
    </row>
    <row r="39" spans="1:59" s="53" customFormat="1">
      <c r="A39" s="92" t="s">
        <v>167</v>
      </c>
      <c r="B39" s="169"/>
      <c r="C39" s="169"/>
      <c r="D39" s="170"/>
      <c r="E39" s="170"/>
      <c r="F39" s="171"/>
      <c r="G39" s="170"/>
      <c r="H39" s="196"/>
      <c r="I39" s="172"/>
      <c r="J39" s="172"/>
      <c r="K39" s="173"/>
      <c r="L39" s="173"/>
      <c r="M39" s="172"/>
      <c r="N39" s="179"/>
      <c r="O39" s="196"/>
      <c r="P39" s="172"/>
      <c r="Q39" s="172"/>
      <c r="R39" s="172"/>
      <c r="S39" s="179"/>
      <c r="T39" s="196"/>
      <c r="U39" s="172"/>
      <c r="V39" s="172"/>
      <c r="W39" s="172"/>
      <c r="X39" s="172"/>
      <c r="Y39" s="179"/>
      <c r="Z39" s="196"/>
      <c r="AA39" s="172"/>
      <c r="AB39" s="172"/>
      <c r="AC39" s="172"/>
      <c r="AD39" s="172"/>
      <c r="AE39" s="179"/>
      <c r="AF39" s="196"/>
      <c r="AG39" s="172"/>
      <c r="AH39" s="172"/>
      <c r="AI39" s="172"/>
      <c r="AJ39" s="172"/>
      <c r="AK39" s="179"/>
      <c r="AL39" s="196"/>
      <c r="AM39" s="179"/>
      <c r="AN39" s="196"/>
      <c r="AO39" s="179"/>
      <c r="AP39" s="196"/>
      <c r="AQ39" s="179"/>
      <c r="AR39" s="196"/>
      <c r="AS39" s="179"/>
      <c r="AT39" s="196"/>
      <c r="AU39" s="179"/>
      <c r="AV39" s="397">
        <v>0.5</v>
      </c>
      <c r="AW39" s="179">
        <v>3.3</v>
      </c>
      <c r="AX39" s="397">
        <v>1.8</v>
      </c>
      <c r="AY39" s="179">
        <v>3.2</v>
      </c>
      <c r="AZ39" s="397">
        <v>1.4</v>
      </c>
      <c r="BA39" s="179">
        <v>2.5</v>
      </c>
      <c r="BB39" s="397">
        <v>1.7</v>
      </c>
      <c r="BC39" s="179">
        <v>5</v>
      </c>
      <c r="BD39" s="179">
        <v>1.3</v>
      </c>
      <c r="BE39" s="179"/>
      <c r="BG39" s="473"/>
    </row>
    <row r="40" spans="1:59" s="54" customFormat="1">
      <c r="A40" s="351" t="s">
        <v>141</v>
      </c>
      <c r="B40" s="352"/>
      <c r="C40" s="352"/>
      <c r="D40" s="138"/>
      <c r="E40" s="138"/>
      <c r="F40" s="353"/>
      <c r="G40" s="138"/>
      <c r="H40" s="139"/>
      <c r="I40" s="138"/>
      <c r="J40" s="138"/>
      <c r="K40" s="353"/>
      <c r="L40" s="353"/>
      <c r="M40" s="353"/>
      <c r="N40" s="140"/>
      <c r="O40" s="139"/>
      <c r="P40" s="138"/>
      <c r="Q40" s="138"/>
      <c r="R40" s="353"/>
      <c r="S40" s="354"/>
      <c r="T40" s="139"/>
      <c r="U40" s="138"/>
      <c r="V40" s="138"/>
      <c r="W40" s="138"/>
      <c r="X40" s="353"/>
      <c r="Y40" s="354"/>
      <c r="Z40" s="139"/>
      <c r="AA40" s="138"/>
      <c r="AB40" s="138"/>
      <c r="AC40" s="138"/>
      <c r="AD40" s="353"/>
      <c r="AE40" s="354"/>
      <c r="AF40" s="139"/>
      <c r="AG40" s="138"/>
      <c r="AH40" s="138"/>
      <c r="AI40" s="138"/>
      <c r="AJ40" s="353"/>
      <c r="AK40" s="354"/>
      <c r="AL40" s="139"/>
      <c r="AM40" s="354"/>
      <c r="AN40" s="139"/>
      <c r="AO40" s="354"/>
      <c r="AP40" s="139"/>
      <c r="AQ40" s="354"/>
      <c r="AR40" s="139"/>
      <c r="AS40" s="354"/>
      <c r="AT40" s="139"/>
      <c r="AU40" s="354"/>
      <c r="AV40" s="398" t="s">
        <v>168</v>
      </c>
      <c r="AW40" s="354" t="s">
        <v>168</v>
      </c>
      <c r="AX40" s="398" t="s">
        <v>83</v>
      </c>
      <c r="AY40" s="354">
        <f t="shared" ref="AY40:AY42" si="84">AY39/AW39-1</f>
        <v>-3.0303030303030165E-2</v>
      </c>
      <c r="AZ40" s="398" t="s">
        <v>83</v>
      </c>
      <c r="BA40" s="354">
        <v>-0.21875</v>
      </c>
      <c r="BB40" s="398">
        <v>0.214</v>
      </c>
      <c r="BC40" s="354">
        <v>1</v>
      </c>
      <c r="BD40" s="354">
        <v>-0.23499999999999999</v>
      </c>
      <c r="BE40" s="354"/>
      <c r="BF40" s="53"/>
      <c r="BG40" s="473"/>
    </row>
    <row r="41" spans="1:59" s="53" customFormat="1">
      <c r="A41" s="92" t="s">
        <v>35</v>
      </c>
      <c r="B41" s="169">
        <v>564.1</v>
      </c>
      <c r="C41" s="169">
        <f>+C30+C35+C37</f>
        <v>35.600000000000037</v>
      </c>
      <c r="D41" s="170">
        <f>+D30+D35+D37</f>
        <v>248.20000000000005</v>
      </c>
      <c r="E41" s="170">
        <f>+E30+E35+E37</f>
        <v>267.50000000000006</v>
      </c>
      <c r="F41" s="171">
        <f>+F30+F35+F37</f>
        <v>25.400000000000137</v>
      </c>
      <c r="G41" s="170">
        <f>SUM(C41:F41)</f>
        <v>576.70000000000027</v>
      </c>
      <c r="H41" s="196">
        <f>+H30+H35+H37</f>
        <v>-1.8000000000000924</v>
      </c>
      <c r="I41" s="172">
        <f>+I30+I35+I37</f>
        <v>189.69999999999985</v>
      </c>
      <c r="J41" s="172">
        <f>+J30+J35+J37</f>
        <v>193.39999999999981</v>
      </c>
      <c r="K41" s="173">
        <f>+K30+K35+K37</f>
        <v>-5.7999999999997058</v>
      </c>
      <c r="L41" s="173">
        <f>SUM(H41:K41)</f>
        <v>375.49999999999983</v>
      </c>
      <c r="M41" s="172">
        <f t="shared" ref="M41:U41" si="85">+M30+M35+M37</f>
        <v>-7.6000000000000689</v>
      </c>
      <c r="N41" s="179">
        <f t="shared" si="85"/>
        <v>364.50000000000063</v>
      </c>
      <c r="O41" s="196">
        <f t="shared" si="85"/>
        <v>-34.400000000000013</v>
      </c>
      <c r="P41" s="172">
        <f t="shared" si="85"/>
        <v>161.19999999999993</v>
      </c>
      <c r="Q41" s="172">
        <f t="shared" si="85"/>
        <v>187.59999999999988</v>
      </c>
      <c r="R41" s="172">
        <f t="shared" si="85"/>
        <v>-52.600000000000421</v>
      </c>
      <c r="S41" s="179">
        <f t="shared" si="85"/>
        <v>261.7999999999999</v>
      </c>
      <c r="T41" s="196">
        <f t="shared" si="85"/>
        <v>-34.099999999999895</v>
      </c>
      <c r="U41" s="172">
        <f t="shared" si="85"/>
        <v>158.79999999999959</v>
      </c>
      <c r="V41" s="172">
        <f>T41+U41</f>
        <v>124.69999999999969</v>
      </c>
      <c r="W41" s="172">
        <f>Y41-U41-T41-X41</f>
        <v>186.09999999999923</v>
      </c>
      <c r="X41" s="172">
        <f t="shared" ref="X41:AF41" si="86">+X30+X35+X37</f>
        <v>-52.199999999999982</v>
      </c>
      <c r="Y41" s="179">
        <f t="shared" si="86"/>
        <v>258.59999999999894</v>
      </c>
      <c r="Z41" s="196">
        <f t="shared" si="86"/>
        <v>-30.999999999999897</v>
      </c>
      <c r="AA41" s="172">
        <f t="shared" si="86"/>
        <v>119.9999999999995</v>
      </c>
      <c r="AB41" s="172">
        <f>Z41+AA41</f>
        <v>88.999999999999602</v>
      </c>
      <c r="AC41" s="172">
        <f t="shared" si="86"/>
        <v>194.00000000000026</v>
      </c>
      <c r="AD41" s="172">
        <f t="shared" si="86"/>
        <v>11.099999999999959</v>
      </c>
      <c r="AE41" s="179">
        <f t="shared" si="86"/>
        <v>294.0999999999998</v>
      </c>
      <c r="AF41" s="196">
        <f t="shared" si="86"/>
        <v>-49.500000000000099</v>
      </c>
      <c r="AG41" s="172">
        <f>+AG30+AG35+AG37</f>
        <v>178.70000000000007</v>
      </c>
      <c r="AH41" s="172">
        <f>AF41+AG41</f>
        <v>129.19999999999999</v>
      </c>
      <c r="AI41" s="172">
        <f>+AI30+AI35+AI37</f>
        <v>171.29999999999973</v>
      </c>
      <c r="AJ41" s="172">
        <f>+AJ30+AJ35+AJ37</f>
        <v>51.500000000000085</v>
      </c>
      <c r="AK41" s="179">
        <f>+AK30+AK35+AK37</f>
        <v>351.99999999999972</v>
      </c>
      <c r="AL41" s="196">
        <v>164.70000000000016</v>
      </c>
      <c r="AM41" s="179">
        <v>357.1</v>
      </c>
      <c r="AN41" s="196">
        <v>190.9</v>
      </c>
      <c r="AO41" s="179">
        <v>457.8</v>
      </c>
      <c r="AP41" s="196">
        <v>254.2</v>
      </c>
      <c r="AQ41" s="179">
        <v>564.9</v>
      </c>
      <c r="AR41" s="196">
        <v>290.10000000000002</v>
      </c>
      <c r="AS41" s="179">
        <v>610.9</v>
      </c>
      <c r="AT41" s="196">
        <v>260.8</v>
      </c>
      <c r="AU41" s="179">
        <v>661.2</v>
      </c>
      <c r="AV41" s="397">
        <v>167.2</v>
      </c>
      <c r="AW41" s="405">
        <v>593.9</v>
      </c>
      <c r="AX41" s="397">
        <v>317.2</v>
      </c>
      <c r="AY41" s="405">
        <v>734.89999999999986</v>
      </c>
      <c r="AZ41" s="397">
        <v>234.39999999999972</v>
      </c>
      <c r="BA41" s="405">
        <v>623.6</v>
      </c>
      <c r="BB41" s="397">
        <v>527.6</v>
      </c>
      <c r="BC41" s="405">
        <v>910.3</v>
      </c>
      <c r="BD41" s="405">
        <v>521</v>
      </c>
      <c r="BE41" s="405"/>
      <c r="BG41" s="473"/>
    </row>
    <row r="42" spans="1:59" s="54" customFormat="1">
      <c r="A42" s="351" t="s">
        <v>141</v>
      </c>
      <c r="B42" s="352">
        <v>0.62893444989893155</v>
      </c>
      <c r="C42" s="352" t="s">
        <v>83</v>
      </c>
      <c r="D42" s="138">
        <f>+D41/247.9-1</f>
        <v>1.2101653892699904E-3</v>
      </c>
      <c r="E42" s="138">
        <f>+E41/261.9-1</f>
        <v>2.1382206949217553E-2</v>
      </c>
      <c r="F42" s="353">
        <f>+F41/13.2-1</f>
        <v>0.92424242424243475</v>
      </c>
      <c r="G42" s="138">
        <f>G41/B41-1</f>
        <v>2.2336465165751163E-2</v>
      </c>
      <c r="H42" s="139" t="str">
        <f>IF(H41*C41&lt;=0,"n/a",IF((H41-C41)/C41&gt;100%,"&gt;100%",(H41-C41)/C41))</f>
        <v>n/a</v>
      </c>
      <c r="I42" s="138">
        <f>IF(I41*D41&lt;=0,"n/a",IF((I41-D41)/D41&gt;100%,"&gt;100%",(I41-D41)/D41))</f>
        <v>-0.23569701853344152</v>
      </c>
      <c r="J42" s="138">
        <f>IF(J41*E41&lt;=0,"n/a",IF((J41-E41)/E41&gt;100%,"&gt;100%",(J41-E41)/E41))</f>
        <v>-0.2770093457943934</v>
      </c>
      <c r="K42" s="353" t="str">
        <f>IF(K41*F41&lt;=0,"n/a",IF((K41-F41)/F41&gt;100%,"&gt;100%",(K41-F41)/F41))</f>
        <v>n/a</v>
      </c>
      <c r="L42" s="353">
        <f>IF(L41*G41&lt;=0,"n/a",IF((L41-G41)/G41&gt;100%,"&gt;100%",(L41-G41)/G41))</f>
        <v>-0.34888156753944921</v>
      </c>
      <c r="M42" s="353" t="str">
        <f t="shared" ref="M42:S42" si="87">IF(M41*F41&lt;=0,"n/a",IF((M41-F41)/F41&gt;100%,"&gt;100%",(M41-F41)/F41))</f>
        <v>n/a</v>
      </c>
      <c r="N42" s="140">
        <f t="shared" si="87"/>
        <v>-0.36795560950234013</v>
      </c>
      <c r="O42" s="139" t="str">
        <f t="shared" si="87"/>
        <v>&gt;100%</v>
      </c>
      <c r="P42" s="138">
        <f t="shared" si="87"/>
        <v>-0.15023721665788053</v>
      </c>
      <c r="Q42" s="138">
        <f t="shared" si="87"/>
        <v>-2.9989658738365729E-2</v>
      </c>
      <c r="R42" s="353" t="str">
        <f t="shared" si="87"/>
        <v>&gt;100%</v>
      </c>
      <c r="S42" s="354">
        <f t="shared" si="87"/>
        <v>-0.30279627163781619</v>
      </c>
      <c r="T42" s="139" t="s">
        <v>61</v>
      </c>
      <c r="U42" s="138" t="s">
        <v>61</v>
      </c>
      <c r="V42" s="138"/>
      <c r="W42" s="138" t="s">
        <v>61</v>
      </c>
      <c r="X42" s="353" t="str">
        <f>IF(X41*M41&lt;=0,"n/a",IF((X41-M41)/M41&gt;100%,"&gt;100%",(X41-M41)/M41))</f>
        <v>&gt;100%</v>
      </c>
      <c r="Y42" s="354">
        <f>IF(Y41*N41&lt;=0,"n/a",IF((Y41-N41)/N41&gt;100%,"&gt;100%",(Y41-N41)/N41))</f>
        <v>-0.29053497942387241</v>
      </c>
      <c r="Z42" s="139">
        <f>IF(Z41*T41&lt;=0,"n/a",IF((Z41-T41)/T41&gt;100%,"&gt;100%",(Z41-T41)/T41))</f>
        <v>-9.0909090909091134E-2</v>
      </c>
      <c r="AA42" s="138">
        <f>IF(OR(((AA41-U41)/U41)&gt;=100%,((AA41-U41)/U41)&lt;=-100%),"&gt;100%",((AA41-U41)/ABS(U41)))</f>
        <v>-0.24433249370277194</v>
      </c>
      <c r="AB42" s="138">
        <f>IF(OR(((AB41-V41)/V41)&gt;=100%,((AB41-V41)/V41)&lt;=-100%),"&gt;100%",((AB41-V41)/ABS(V41)))</f>
        <v>-0.28628708901363414</v>
      </c>
      <c r="AC42" s="138">
        <f t="shared" ref="AC42:AI42" si="88">IF(AC41*W41&lt;=0,"n/a",IF((AC41-W41)/W41&gt;100%,"&gt;100%",(AC41-W41)/W41))</f>
        <v>4.2450295540037944E-2</v>
      </c>
      <c r="AD42" s="353" t="str">
        <f t="shared" si="88"/>
        <v>n/a</v>
      </c>
      <c r="AE42" s="354">
        <f t="shared" si="88"/>
        <v>0.13727764887858082</v>
      </c>
      <c r="AF42" s="139">
        <f t="shared" si="88"/>
        <v>0.59677419354839556</v>
      </c>
      <c r="AG42" s="138">
        <f t="shared" si="88"/>
        <v>0.48916666666667347</v>
      </c>
      <c r="AH42" s="138">
        <f t="shared" si="88"/>
        <v>0.45168539325843332</v>
      </c>
      <c r="AI42" s="138">
        <f t="shared" si="88"/>
        <v>-0.11701030927835308</v>
      </c>
      <c r="AJ42" s="353" t="str">
        <f>IF(OR(((AJ41-AD41)/AD41)&gt;=100%,((AJ41-AD41)/AD41)&lt;=-100%),"&gt;100%",((AJ41-AD41)/ABS(AD41)))</f>
        <v>&gt;100%</v>
      </c>
      <c r="AK42" s="354">
        <f>IF(OR(((AK41-AE41)/AE41)&gt;=100%,((AK41-AE41)/AE41)&lt;=-100%),"&gt;100%",((AK41-AE41)/ABS(AE41)))</f>
        <v>0.1968718123087384</v>
      </c>
      <c r="AL42" s="139">
        <f>IF(AL41*AH41&lt;=0,"n/a",IF((AL41-AH41)/AH41&gt;100%,"&gt;100%",(AL41-AH41)/AH41))</f>
        <v>0.27476780185758648</v>
      </c>
      <c r="AM42" s="354">
        <f>IF(AM41*AK41&lt;=0,"n/a",IF((AM41-AK41)/AK41&gt;100%,"&gt;100%",(AM41-AK41)/AK41))</f>
        <v>1.4488636363637248E-2</v>
      </c>
      <c r="AN42" s="139">
        <f t="shared" ref="AN42:AW42" si="89">AN41/AL41-1</f>
        <v>0.15907710989678092</v>
      </c>
      <c r="AO42" s="354">
        <f t="shared" si="89"/>
        <v>0.28199383926071131</v>
      </c>
      <c r="AP42" s="139">
        <f t="shared" si="89"/>
        <v>0.33158721843897321</v>
      </c>
      <c r="AQ42" s="354">
        <f t="shared" si="89"/>
        <v>0.23394495412844019</v>
      </c>
      <c r="AR42" s="139">
        <f t="shared" si="89"/>
        <v>0.14122738001573576</v>
      </c>
      <c r="AS42" s="354">
        <f t="shared" si="89"/>
        <v>8.1430341653389915E-2</v>
      </c>
      <c r="AT42" s="139">
        <f t="shared" si="89"/>
        <v>-0.10099965529127886</v>
      </c>
      <c r="AU42" s="354">
        <f t="shared" si="89"/>
        <v>8.2337534784743927E-2</v>
      </c>
      <c r="AV42" s="398">
        <f t="shared" si="89"/>
        <v>-0.35889570552147243</v>
      </c>
      <c r="AW42" s="354">
        <f t="shared" si="89"/>
        <v>-0.10178463399879012</v>
      </c>
      <c r="AX42" s="398">
        <f t="shared" ref="AX42" si="90">AX41/AV41-1</f>
        <v>0.89712918660287078</v>
      </c>
      <c r="AY42" s="354">
        <f t="shared" si="84"/>
        <v>0.23741370601111278</v>
      </c>
      <c r="AZ42" s="398">
        <v>-0.26103404791929463</v>
      </c>
      <c r="BA42" s="354">
        <v>-0.15144917675874248</v>
      </c>
      <c r="BB42" s="398" t="s">
        <v>83</v>
      </c>
      <c r="BC42" s="354">
        <v>0.46</v>
      </c>
      <c r="BD42" s="354">
        <v>-1.2999999999999999E-2</v>
      </c>
      <c r="BE42" s="354"/>
      <c r="BF42" s="53"/>
      <c r="BG42" s="473"/>
    </row>
    <row r="43" spans="1:59" s="53" customFormat="1">
      <c r="A43" s="92" t="s">
        <v>36</v>
      </c>
      <c r="B43" s="169">
        <v>550.29999999999995</v>
      </c>
      <c r="C43" s="169">
        <v>40.200000000000003</v>
      </c>
      <c r="D43" s="170">
        <v>249.3</v>
      </c>
      <c r="E43" s="170">
        <v>281.3</v>
      </c>
      <c r="F43" s="171">
        <v>42.6</v>
      </c>
      <c r="G43" s="170">
        <f>SUM(C43:F43)</f>
        <v>613.4</v>
      </c>
      <c r="H43" s="196">
        <v>8.3000000000000007</v>
      </c>
      <c r="I43" s="172">
        <v>196.4</v>
      </c>
      <c r="J43" s="172">
        <v>201.8</v>
      </c>
      <c r="K43" s="173">
        <v>41.900000000000226</v>
      </c>
      <c r="L43" s="173">
        <f>SUM(H43:K43)</f>
        <v>448.4000000000002</v>
      </c>
      <c r="M43" s="172">
        <v>39.700000000000003</v>
      </c>
      <c r="N43" s="179">
        <v>436.95363560000095</v>
      </c>
      <c r="O43" s="196">
        <v>-23.2</v>
      </c>
      <c r="P43" s="172">
        <v>171.8</v>
      </c>
      <c r="Q43" s="172">
        <v>197.2</v>
      </c>
      <c r="R43" s="172">
        <f>S43-Q43-P43-O43</f>
        <v>31.099999999999806</v>
      </c>
      <c r="S43" s="179">
        <f>+S32+S35+S37</f>
        <v>376.89999999999981</v>
      </c>
      <c r="T43" s="196">
        <v>-22.882280729999923</v>
      </c>
      <c r="U43" s="172">
        <v>169.89999999999972</v>
      </c>
      <c r="V43" s="172">
        <f>T43+U43</f>
        <v>147.01771926999979</v>
      </c>
      <c r="W43" s="172">
        <f>Y43-U43-T43-X43</f>
        <v>195.18228072999867</v>
      </c>
      <c r="X43" s="172">
        <v>31.796941000000011</v>
      </c>
      <c r="Y43" s="179">
        <v>373.99694099999846</v>
      </c>
      <c r="Z43" s="196">
        <v>-20.679999999999847</v>
      </c>
      <c r="AA43" s="172">
        <v>163.0799999999995</v>
      </c>
      <c r="AB43" s="172">
        <f>Z43+AA43</f>
        <v>142.39999999999966</v>
      </c>
      <c r="AC43" s="172">
        <v>194.70000000000033</v>
      </c>
      <c r="AD43" s="172">
        <v>45.309003519999912</v>
      </c>
      <c r="AE43" s="179">
        <v>382.40900351999994</v>
      </c>
      <c r="AF43" s="196">
        <v>-47.089634240000052</v>
      </c>
      <c r="AG43" s="172">
        <v>179.08963424000004</v>
      </c>
      <c r="AH43" s="172">
        <f>AF43+AG43</f>
        <v>132</v>
      </c>
      <c r="AI43" s="172">
        <v>192.39999999999975</v>
      </c>
      <c r="AJ43" s="172">
        <v>37.800000000000082</v>
      </c>
      <c r="AK43" s="179">
        <v>362.19999999999936</v>
      </c>
      <c r="AL43" s="196">
        <v>185.70000000000013</v>
      </c>
      <c r="AM43" s="179">
        <v>413.3</v>
      </c>
      <c r="AN43" s="196">
        <v>200</v>
      </c>
      <c r="AO43" s="179">
        <v>469.1</v>
      </c>
      <c r="AP43" s="196">
        <v>279.10000000000002</v>
      </c>
      <c r="AQ43" s="179">
        <v>596.29999999999995</v>
      </c>
      <c r="AR43" s="196">
        <v>296.7</v>
      </c>
      <c r="AS43" s="179">
        <v>652.20000000000005</v>
      </c>
      <c r="AT43" s="196">
        <v>297</v>
      </c>
      <c r="AU43" s="179">
        <v>704.6</v>
      </c>
      <c r="AV43" s="397">
        <v>173.1</v>
      </c>
      <c r="AW43" s="405">
        <v>605.5</v>
      </c>
      <c r="AX43" s="397">
        <v>317.39999999999998</v>
      </c>
      <c r="AY43" s="405">
        <v>766.59999999999991</v>
      </c>
      <c r="AZ43" s="397">
        <v>421.19999999999965</v>
      </c>
      <c r="BA43" s="405">
        <v>849.49999999999977</v>
      </c>
      <c r="BB43" s="397">
        <v>531</v>
      </c>
      <c r="BC43" s="405">
        <v>1040.5</v>
      </c>
      <c r="BD43" s="405">
        <v>519</v>
      </c>
      <c r="BE43" s="405"/>
      <c r="BG43" s="473"/>
    </row>
    <row r="44" spans="1:59" s="54" customFormat="1">
      <c r="A44" s="351" t="s">
        <v>141</v>
      </c>
      <c r="B44" s="352">
        <v>-3.2602789349757133E-3</v>
      </c>
      <c r="C44" s="352" t="s">
        <v>83</v>
      </c>
      <c r="D44" s="138">
        <f>+D43/252.3-1</f>
        <v>-1.189060642092743E-2</v>
      </c>
      <c r="E44" s="138">
        <f>+E43/267.8-1</f>
        <v>5.0410754294249349E-2</v>
      </c>
      <c r="F44" s="353" t="s">
        <v>83</v>
      </c>
      <c r="G44" s="138">
        <f>G43/B43-1</f>
        <v>0.11466472833000196</v>
      </c>
      <c r="H44" s="139">
        <f>IF(H43*C43&lt;=0,"n/a",IF((H43-C43)/C43&gt;100%,"&gt;100%",(H43-C43)/C43))</f>
        <v>-0.79353233830845771</v>
      </c>
      <c r="I44" s="138">
        <f>IF(I43*D43&lt;=0,"n/a",IF((I43-D43)/D43&gt;100%,"&gt;100%",(I43-D43)/D43))</f>
        <v>-0.21219414360208586</v>
      </c>
      <c r="J44" s="138">
        <f>IF(J43*E43&lt;=0,"n/a",IF((J43-E43)/E43&gt;100%,"&gt;100%",(J43-E43)/E43))</f>
        <v>-0.28261642374688944</v>
      </c>
      <c r="K44" s="353">
        <f>IF(K43*F43&lt;=0,"n/a",IF((K43-F43)/F43&gt;100%,"&gt;100%",(K43-F43)/F43))</f>
        <v>-1.6431924882623836E-2</v>
      </c>
      <c r="L44" s="353">
        <f>IF(L43*G43&lt;=0,"n/a",IF((L43-G43)/G43&gt;100%,"&gt;100%",(L43-G43)/G43))</f>
        <v>-0.26899250081512843</v>
      </c>
      <c r="M44" s="353">
        <f t="shared" ref="M44:S44" si="91">IF(M43*F43&lt;=0,"n/a",IF((M43-F43)/F43&gt;100%,"&gt;100%",(M43-F43)/F43))</f>
        <v>-6.8075117370891988E-2</v>
      </c>
      <c r="N44" s="140">
        <f t="shared" si="91"/>
        <v>-0.28765302314965607</v>
      </c>
      <c r="O44" s="139" t="str">
        <f t="shared" si="91"/>
        <v>n/a</v>
      </c>
      <c r="P44" s="138">
        <f t="shared" si="91"/>
        <v>-0.12525458248472501</v>
      </c>
      <c r="Q44" s="138">
        <f t="shared" si="91"/>
        <v>-2.2794846382557098E-2</v>
      </c>
      <c r="R44" s="353">
        <f t="shared" si="91"/>
        <v>-0.25775656324583202</v>
      </c>
      <c r="S44" s="354">
        <f t="shared" si="91"/>
        <v>-0.15945584299732463</v>
      </c>
      <c r="T44" s="139" t="s">
        <v>61</v>
      </c>
      <c r="U44" s="138" t="s">
        <v>61</v>
      </c>
      <c r="V44" s="138"/>
      <c r="W44" s="138" t="s">
        <v>61</v>
      </c>
      <c r="X44" s="353">
        <f>IF(X43*M43&lt;=0,"n/a",IF((X43-M43)/M43&gt;100%,"&gt;100%",(X43-M43)/M43))</f>
        <v>-0.19906949622166226</v>
      </c>
      <c r="Y44" s="354">
        <f>IF(Y43*N43&lt;=0,"n/a",IF((Y43-N43)/N43&gt;100%,"&gt;100%",(Y43-N43)/N43))</f>
        <v>-0.14408094926033466</v>
      </c>
      <c r="Z44" s="139">
        <f>IF(Z43*T43&lt;=0,"n/a",IF((Z43-T43)/T43&gt;100%,"&gt;100%",(Z43-T43)/T43))</f>
        <v>-9.6243934596640351E-2</v>
      </c>
      <c r="AA44" s="138">
        <f>IF(OR(((AA43-U43)/U43)&gt;=100%,((AA43-U43)/U43)&lt;=-100%),"&gt;100%",((AA43-U43)/ABS(U43)))</f>
        <v>-4.014125956445104E-2</v>
      </c>
      <c r="AB44" s="138">
        <f>IF(OR(((AB43-V43)/V43)&gt;=100%,((AB43-V43)/V43)&lt;=-100%),"&gt;100%",((AB43-V43)/ABS(V43)))</f>
        <v>-3.1409270208576874E-2</v>
      </c>
      <c r="AC44" s="138">
        <f t="shared" ref="AC44:AI44" si="92">IF(AC43*W43&lt;=0,"n/a",IF((AC43-W43)/W43&gt;100%,"&gt;100%",(AC43-W43)/W43))</f>
        <v>-2.4709247591254949E-3</v>
      </c>
      <c r="AD44" s="353">
        <f t="shared" si="92"/>
        <v>0.42494850432310127</v>
      </c>
      <c r="AE44" s="354">
        <f t="shared" si="92"/>
        <v>2.2492329743417659E-2</v>
      </c>
      <c r="AF44" s="139" t="str">
        <f t="shared" si="92"/>
        <v>&gt;100%</v>
      </c>
      <c r="AG44" s="138">
        <f t="shared" si="92"/>
        <v>9.8170433161642048E-2</v>
      </c>
      <c r="AH44" s="138">
        <f t="shared" si="92"/>
        <v>-7.3033707865166358E-2</v>
      </c>
      <c r="AI44" s="138">
        <f t="shared" si="92"/>
        <v>-1.1813045711353755E-2</v>
      </c>
      <c r="AJ44" s="353">
        <f>IF(OR(((AJ43-AD43)/AD43)&gt;=100%,((AJ43-AD43)/AD43)&lt;=-100%),"&gt;100%",((AJ43-AD43)/ABS(AD43)))</f>
        <v>-0.16572872799299745</v>
      </c>
      <c r="AK44" s="354">
        <f>IF(OR(((AK43-AE43)/AE43)&gt;=100%,((AK43-AE43)/AE43)&lt;=-100%),"&gt;100%",((AK43-AE43)/ABS(AE43)))</f>
        <v>-5.2846568292013688E-2</v>
      </c>
      <c r="AL44" s="139">
        <f>IF(AL43*AH43&lt;=0,"n/a",IF((AL43-AH43)/AH43&gt;100%,"&gt;100%",(AL43-AH43)/AH43))</f>
        <v>0.4068181818181828</v>
      </c>
      <c r="AM44" s="354">
        <f>IF(AM43*AK43&lt;=0,"n/a",IF((AM43-AK43)/AK43&gt;100%,"&gt;100%",(AM43-AK43)/AK43))</f>
        <v>0.14108227498619752</v>
      </c>
      <c r="AN44" s="139">
        <f t="shared" ref="AN44:AW44" si="93">AN43/AL43-1</f>
        <v>7.7005923532578624E-2</v>
      </c>
      <c r="AO44" s="354">
        <f t="shared" si="93"/>
        <v>0.13501088797483662</v>
      </c>
      <c r="AP44" s="139">
        <f t="shared" si="93"/>
        <v>0.39550000000000018</v>
      </c>
      <c r="AQ44" s="354">
        <f t="shared" si="93"/>
        <v>0.27115753570667223</v>
      </c>
      <c r="AR44" s="139">
        <f t="shared" si="93"/>
        <v>6.3059835184521518E-2</v>
      </c>
      <c r="AS44" s="354">
        <f t="shared" si="93"/>
        <v>9.3744759349321027E-2</v>
      </c>
      <c r="AT44" s="139">
        <f t="shared" si="93"/>
        <v>1.0111223458038054E-3</v>
      </c>
      <c r="AU44" s="354">
        <f t="shared" si="93"/>
        <v>8.0343452928549386E-2</v>
      </c>
      <c r="AV44" s="398">
        <f t="shared" si="93"/>
        <v>-0.41717171717171719</v>
      </c>
      <c r="AW44" s="354">
        <f t="shared" si="93"/>
        <v>-0.14064717570252627</v>
      </c>
      <c r="AX44" s="398">
        <f t="shared" ref="AX44" si="94">AX43/AV43-1</f>
        <v>0.83362218370883867</v>
      </c>
      <c r="AY44" s="354">
        <f t="shared" ref="AY44" si="95">AY43/AW43-1</f>
        <v>0.2660611065235341</v>
      </c>
      <c r="AZ44" s="398">
        <v>0.32703213610585902</v>
      </c>
      <c r="BA44" s="354">
        <v>0.10813983824680395</v>
      </c>
      <c r="BB44" s="398">
        <f>BB43/AZ43-1</f>
        <v>0.26068376068376176</v>
      </c>
      <c r="BC44" s="354">
        <v>0.22483814008240177</v>
      </c>
      <c r="BD44" s="354">
        <v>-2.3E-2</v>
      </c>
      <c r="BE44" s="354"/>
      <c r="BF44" s="53"/>
      <c r="BG44" s="473"/>
    </row>
    <row r="45" spans="1:59" s="53" customFormat="1">
      <c r="A45" s="92" t="s">
        <v>37</v>
      </c>
      <c r="B45" s="169">
        <v>-142.5</v>
      </c>
      <c r="C45" s="169">
        <v>-7.6</v>
      </c>
      <c r="D45" s="170">
        <v>-71.8</v>
      </c>
      <c r="E45" s="170">
        <v>-57.2</v>
      </c>
      <c r="F45" s="171">
        <v>-1.4</v>
      </c>
      <c r="G45" s="170">
        <f>SUM(C45:F45)</f>
        <v>-138</v>
      </c>
      <c r="H45" s="196">
        <v>-6.1</v>
      </c>
      <c r="I45" s="172">
        <v>-45.1</v>
      </c>
      <c r="J45" s="172">
        <v>-46.8</v>
      </c>
      <c r="K45" s="173">
        <v>-4.7000000000000028</v>
      </c>
      <c r="L45" s="173">
        <f>SUM(H45:K45)</f>
        <v>-102.7</v>
      </c>
      <c r="M45" s="172">
        <v>-2.9</v>
      </c>
      <c r="N45" s="179">
        <v>-98.8</v>
      </c>
      <c r="O45" s="196">
        <v>6.1</v>
      </c>
      <c r="P45" s="172">
        <v>-40.799999999999997</v>
      </c>
      <c r="Q45" s="172">
        <v>-39.5</v>
      </c>
      <c r="R45" s="172">
        <f>S45-Q45-P45-O45</f>
        <v>7.4999999999999947</v>
      </c>
      <c r="S45" s="179">
        <v>-66.7</v>
      </c>
      <c r="T45" s="196">
        <v>5.3</v>
      </c>
      <c r="U45" s="172">
        <v>-40.6</v>
      </c>
      <c r="V45" s="172">
        <f>T45+U45</f>
        <v>-35.300000000000004</v>
      </c>
      <c r="W45" s="172">
        <f>Y45-U45-T45-X45</f>
        <v>-36.900000000000006</v>
      </c>
      <c r="X45" s="172">
        <v>7</v>
      </c>
      <c r="Y45" s="179">
        <v>-65.2</v>
      </c>
      <c r="Z45" s="196">
        <v>6.6</v>
      </c>
      <c r="AA45" s="172">
        <v>-30.1</v>
      </c>
      <c r="AB45" s="172">
        <f>Z45+AA45</f>
        <v>-23.5</v>
      </c>
      <c r="AC45" s="172">
        <v>-46.7</v>
      </c>
      <c r="AD45" s="172">
        <v>-2.7000000000000028</v>
      </c>
      <c r="AE45" s="179">
        <v>-72.900000000000006</v>
      </c>
      <c r="AF45" s="196">
        <v>10.199999999999999</v>
      </c>
      <c r="AG45" s="172">
        <v>-44.3</v>
      </c>
      <c r="AH45" s="172">
        <f>AF45+AG45</f>
        <v>-34.099999999999994</v>
      </c>
      <c r="AI45" s="172">
        <v>-38.199999999999996</v>
      </c>
      <c r="AJ45" s="172">
        <v>14.5</v>
      </c>
      <c r="AK45" s="179">
        <v>-57.8</v>
      </c>
      <c r="AL45" s="196">
        <v>-39.200000000000003</v>
      </c>
      <c r="AM45" s="179">
        <v>-76.400000000000006</v>
      </c>
      <c r="AN45" s="196">
        <v>-50.7</v>
      </c>
      <c r="AO45" s="179">
        <v>-113.8</v>
      </c>
      <c r="AP45" s="196">
        <v>-62.4</v>
      </c>
      <c r="AQ45" s="179">
        <v>-138.4</v>
      </c>
      <c r="AR45" s="196">
        <v>-73</v>
      </c>
      <c r="AS45" s="179">
        <v>-162.80000000000001</v>
      </c>
      <c r="AT45" s="196">
        <v>-65.599999999999994</v>
      </c>
      <c r="AU45" s="179">
        <f>-173.2</f>
        <v>-173.2</v>
      </c>
      <c r="AV45" s="397">
        <v>-43.1</v>
      </c>
      <c r="AW45" s="179">
        <v>-178.9</v>
      </c>
      <c r="AX45" s="397">
        <v>-83.8</v>
      </c>
      <c r="AY45" s="179">
        <v>-187.4</v>
      </c>
      <c r="AZ45" s="397">
        <v>-82</v>
      </c>
      <c r="BA45" s="179">
        <v>-208</v>
      </c>
      <c r="BB45" s="397">
        <v>-142.5</v>
      </c>
      <c r="BC45" s="179">
        <v>-274.60000000000002</v>
      </c>
      <c r="BD45" s="179">
        <v>-140.69999999999999</v>
      </c>
      <c r="BE45" s="179"/>
      <c r="BG45" s="473"/>
    </row>
    <row r="46" spans="1:59" s="54" customFormat="1">
      <c r="A46" s="351" t="s">
        <v>141</v>
      </c>
      <c r="B46" s="352">
        <v>0.33928571428571419</v>
      </c>
      <c r="C46" s="352">
        <f>+C45/-4.3-1</f>
        <v>0.76744186046511631</v>
      </c>
      <c r="D46" s="138">
        <f>+D45/-53.3-1</f>
        <v>0.34709193245778613</v>
      </c>
      <c r="E46" s="138">
        <f>+E45/-54.6-1</f>
        <v>4.7619047619047672E-2</v>
      </c>
      <c r="F46" s="353">
        <f>+F45/-30.3-1</f>
        <v>-0.95379537953795379</v>
      </c>
      <c r="G46" s="138">
        <f>G45/B45-1</f>
        <v>-3.157894736842104E-2</v>
      </c>
      <c r="H46" s="139">
        <f>IF(H45*C45&lt;=0,"n/a",IF((H45-C45)/C45&gt;100%,"&gt;100%",(H45-C45)/C45))</f>
        <v>-0.19736842105263158</v>
      </c>
      <c r="I46" s="138">
        <f>IF(I45*D45&lt;=0,"n/a",IF((I45-D45)/D45&gt;100%,"&gt;100%",(I45-D45)/D45))</f>
        <v>-0.37186629526462389</v>
      </c>
      <c r="J46" s="138">
        <f>IF(J45*E45&lt;=0,"n/a",IF((J45-E45)/E45&gt;100%,"&gt;100%",(J45-E45)/E45))</f>
        <v>-0.18181818181818191</v>
      </c>
      <c r="K46" s="353" t="str">
        <f>IF(K45*F45&lt;=0,"n/a",IF((K45-F45)/F45&gt;100%,"&gt;100%",(K45-F45)/F45))</f>
        <v>&gt;100%</v>
      </c>
      <c r="L46" s="353">
        <f>IF(L45*G45&lt;=0,"n/a",IF((L45-G45)/G45&gt;100%,"&gt;100%",(L45-G45)/G45))</f>
        <v>-0.25579710144927537</v>
      </c>
      <c r="M46" s="353" t="str">
        <f t="shared" ref="M46:S46" si="96">IF(M45*F45&lt;=0,"n/a",IF((M45-F45)/F45&gt;100%,"&gt;100%",(M45-F45)/F45))</f>
        <v>&gt;100%</v>
      </c>
      <c r="N46" s="140">
        <f t="shared" si="96"/>
        <v>-0.28405797101449276</v>
      </c>
      <c r="O46" s="139" t="str">
        <f t="shared" si="96"/>
        <v>n/a</v>
      </c>
      <c r="P46" s="138">
        <f t="shared" si="96"/>
        <v>-9.5343680709534459E-2</v>
      </c>
      <c r="Q46" s="138">
        <f t="shared" si="96"/>
        <v>-0.15598290598290593</v>
      </c>
      <c r="R46" s="353" t="str">
        <f t="shared" si="96"/>
        <v>n/a</v>
      </c>
      <c r="S46" s="354">
        <f t="shared" si="96"/>
        <v>-0.35053554040895812</v>
      </c>
      <c r="T46" s="139" t="s">
        <v>61</v>
      </c>
      <c r="U46" s="138" t="s">
        <v>61</v>
      </c>
      <c r="V46" s="138"/>
      <c r="W46" s="138" t="s">
        <v>61</v>
      </c>
      <c r="X46" s="353" t="str">
        <f>IF(X45*M45&lt;=0,"n/a",IF((X45-M45)/M45&gt;100%,"&gt;100%",(X45-M45)/M45))</f>
        <v>n/a</v>
      </c>
      <c r="Y46" s="354">
        <f>IF(Y45*N45&lt;=0,"n/a",IF((Y45-N45)/N45&gt;100%,"&gt;100%",(Y45-N45)/N45))</f>
        <v>-0.34008097165991896</v>
      </c>
      <c r="Z46" s="139">
        <f>IF(Z45*T45&lt;=0,"n/a",IF((Z45-T45)/T45&gt;100%,"&gt;100%",(Z45-T45)/T45))</f>
        <v>0.2452830188679245</v>
      </c>
      <c r="AA46" s="138">
        <f>IF(OR(((AA45-U45)/U45)&gt;=100%,((AA45-U45)/U45)&lt;=-100%),"&gt;100%",((AA45-U45)/ABS(U45)))</f>
        <v>0.25862068965517243</v>
      </c>
      <c r="AB46" s="138">
        <f>IF(OR(((AB45-V45)/V45)&gt;=100%,((AB45-V45)/V45)&lt;=-100%),"&gt;100%",((AB45-V45)/ABS(V45)))</f>
        <v>0.33427762039660064</v>
      </c>
      <c r="AC46" s="138">
        <f t="shared" ref="AC46:AI46" si="97">IF(AC45*W45&lt;=0,"n/a",IF((AC45-W45)/W45&gt;100%,"&gt;100%",(AC45-W45)/W45))</f>
        <v>0.26558265582655816</v>
      </c>
      <c r="AD46" s="353" t="str">
        <f t="shared" si="97"/>
        <v>n/a</v>
      </c>
      <c r="AE46" s="354">
        <f t="shared" si="97"/>
        <v>0.11809815950920249</v>
      </c>
      <c r="AF46" s="139">
        <f t="shared" si="97"/>
        <v>0.54545454545454541</v>
      </c>
      <c r="AG46" s="138">
        <f t="shared" si="97"/>
        <v>0.47176079734219251</v>
      </c>
      <c r="AH46" s="138">
        <f t="shared" si="97"/>
        <v>0.45106382978723381</v>
      </c>
      <c r="AI46" s="138">
        <f t="shared" si="97"/>
        <v>-0.18201284796573891</v>
      </c>
      <c r="AJ46" s="353" t="str">
        <f>IF(OR(((AJ45-AD45)/AD45)&gt;=100%,((AJ45-AD45)/AD45)&lt;=-100%),"&gt;100%",((AJ45-AD45)/ABS(AD45)))</f>
        <v>&gt;100%</v>
      </c>
      <c r="AK46" s="354">
        <f>IF(OR(((AK45-AE45)/AE45)&gt;=100%,((AK45-AE45)/AE45)&lt;=-100%),"&gt;100%",((AK45-AE45)/ABS(AE45)))</f>
        <v>0.20713305898491094</v>
      </c>
      <c r="AL46" s="139">
        <f>IF(AL45*AH45&lt;=0,"n/a",IF((AL45-AH45)/AH45&gt;100%,"&gt;100%",(AL45-AH45)/AH45))</f>
        <v>0.14956011730205307</v>
      </c>
      <c r="AM46" s="354">
        <f>IF(AM45*AK45&lt;=0,"n/a",IF((AM45-AK45)/AK45&gt;100%,"&gt;100%",(AM45-AK45)/AK45))</f>
        <v>0.32179930795847767</v>
      </c>
      <c r="AN46" s="139">
        <f t="shared" ref="AN46:AW46" si="98">AN45/AL45-1</f>
        <v>0.29336734693877542</v>
      </c>
      <c r="AO46" s="354">
        <f t="shared" si="98"/>
        <v>0.4895287958115182</v>
      </c>
      <c r="AP46" s="139">
        <f t="shared" si="98"/>
        <v>0.23076923076923062</v>
      </c>
      <c r="AQ46" s="354">
        <f t="shared" si="98"/>
        <v>0.21616871704745177</v>
      </c>
      <c r="AR46" s="139">
        <f t="shared" si="98"/>
        <v>0.16987179487179493</v>
      </c>
      <c r="AS46" s="354">
        <f t="shared" si="98"/>
        <v>0.17630057803468202</v>
      </c>
      <c r="AT46" s="139">
        <f t="shared" si="98"/>
        <v>-0.10136986301369866</v>
      </c>
      <c r="AU46" s="354">
        <f t="shared" si="98"/>
        <v>6.3882063882063633E-2</v>
      </c>
      <c r="AV46" s="398">
        <f t="shared" si="98"/>
        <v>-0.3429878048780487</v>
      </c>
      <c r="AW46" s="354">
        <f t="shared" si="98"/>
        <v>3.2909930715935509E-2</v>
      </c>
      <c r="AX46" s="398">
        <f t="shared" ref="AX46" si="99">AX45/AV45-1</f>
        <v>0.94431554524361938</v>
      </c>
      <c r="AY46" s="354">
        <f t="shared" ref="AY46" si="100">AY45/AW45-1</f>
        <v>4.7512576858580235E-2</v>
      </c>
      <c r="AZ46" s="398">
        <v>-2.1479713603818618E-2</v>
      </c>
      <c r="BA46" s="354">
        <v>0.10992529348986113</v>
      </c>
      <c r="BB46" s="398">
        <v>0.73799999999999999</v>
      </c>
      <c r="BC46" s="354">
        <v>0.32</v>
      </c>
      <c r="BD46" s="354">
        <v>-1.2999999999999999E-2</v>
      </c>
      <c r="BE46" s="354"/>
      <c r="BF46" s="53"/>
      <c r="BG46" s="473"/>
    </row>
    <row r="47" spans="1:59" s="53" customFormat="1">
      <c r="A47" s="92" t="s">
        <v>38</v>
      </c>
      <c r="B47" s="169">
        <v>-147.19999999999999</v>
      </c>
      <c r="C47" s="169">
        <v>-8.6999999999999993</v>
      </c>
      <c r="D47" s="170">
        <v>-72.099999999999994</v>
      </c>
      <c r="E47" s="170">
        <v>-60.4</v>
      </c>
      <c r="F47" s="171">
        <v>-5.5</v>
      </c>
      <c r="G47" s="170">
        <f>SUM(C47:F47)</f>
        <v>-146.69999999999999</v>
      </c>
      <c r="H47" s="196">
        <v>-8.3000000000000007</v>
      </c>
      <c r="I47" s="172">
        <v>-46.2</v>
      </c>
      <c r="J47" s="172">
        <v>-48</v>
      </c>
      <c r="K47" s="173">
        <v>-11.715472171999956</v>
      </c>
      <c r="L47" s="173">
        <f>SUM(H47:K47)</f>
        <v>-114.21547217199995</v>
      </c>
      <c r="M47" s="172">
        <v>-9.9</v>
      </c>
      <c r="N47" s="179">
        <v>-110.03802483459995</v>
      </c>
      <c r="O47" s="196">
        <v>4.7</v>
      </c>
      <c r="P47" s="172">
        <v>-43.2</v>
      </c>
      <c r="Q47" s="172">
        <v>-40</v>
      </c>
      <c r="R47" s="172">
        <f>S47-Q47-P47-O47</f>
        <v>-8.5075916317065001</v>
      </c>
      <c r="S47" s="179">
        <v>-87.007591631706504</v>
      </c>
      <c r="T47" s="196">
        <v>3.8546842190000001</v>
      </c>
      <c r="U47" s="172">
        <v>-43</v>
      </c>
      <c r="V47" s="172">
        <f>T47+U47</f>
        <v>-39.145315781000001</v>
      </c>
      <c r="W47" s="172">
        <f>Y47-U47-T47-X47</f>
        <v>-37.454684219000001</v>
      </c>
      <c r="X47" s="172">
        <v>-8.9075916317065129</v>
      </c>
      <c r="Y47" s="179">
        <v>-85.507591631706518</v>
      </c>
      <c r="Z47" s="196">
        <v>4.8</v>
      </c>
      <c r="AA47" s="172">
        <v>-36.625</v>
      </c>
      <c r="AB47" s="172">
        <f>Z47+AA47</f>
        <v>-31.824999999999999</v>
      </c>
      <c r="AC47" s="172">
        <v>-46.475000000000001</v>
      </c>
      <c r="AD47" s="172">
        <v>-11.000000000000002</v>
      </c>
      <c r="AE47" s="179">
        <v>-89.300000000000011</v>
      </c>
      <c r="AF47" s="196">
        <v>11.2</v>
      </c>
      <c r="AG47" s="172">
        <v>-44.4</v>
      </c>
      <c r="AH47" s="172">
        <f>AF47+AG47</f>
        <v>-33.200000000000003</v>
      </c>
      <c r="AI47" s="172">
        <v>-44.3</v>
      </c>
      <c r="AJ47" s="172">
        <v>-7.9000000000000021</v>
      </c>
      <c r="AK47" s="179">
        <v>-85.4</v>
      </c>
      <c r="AL47" s="196">
        <v>-43.7</v>
      </c>
      <c r="AM47" s="179">
        <v>-98.6</v>
      </c>
      <c r="AN47" s="196">
        <v>-49.4</v>
      </c>
      <c r="AO47" s="179">
        <v>-116.5</v>
      </c>
      <c r="AP47" s="196">
        <v>-69.3</v>
      </c>
      <c r="AQ47" s="179">
        <v>-146.1</v>
      </c>
      <c r="AR47" s="196">
        <v>-74.8</v>
      </c>
      <c r="AS47" s="179">
        <v>-171.1</v>
      </c>
      <c r="AT47" s="196">
        <v>-74.099999999999994</v>
      </c>
      <c r="AU47" s="179">
        <f>-181.9</f>
        <v>-181.9</v>
      </c>
      <c r="AV47" s="397">
        <v>-44</v>
      </c>
      <c r="AW47" s="179">
        <v>-174</v>
      </c>
      <c r="AX47" s="397">
        <v>-81.5</v>
      </c>
      <c r="AY47" s="179">
        <v>-188.2</v>
      </c>
      <c r="AZ47" s="397">
        <v>-104.845</v>
      </c>
      <c r="BA47" s="179">
        <v>-224.35510400000001</v>
      </c>
      <c r="BB47" s="397">
        <v>-142.69999999999999</v>
      </c>
      <c r="BC47" s="179">
        <v>-277.10000000000002</v>
      </c>
      <c r="BD47" s="179">
        <v>-140</v>
      </c>
      <c r="BE47" s="179"/>
      <c r="BG47" s="473"/>
    </row>
    <row r="48" spans="1:59" s="54" customFormat="1">
      <c r="A48" s="351" t="s">
        <v>141</v>
      </c>
      <c r="B48" s="352">
        <v>0.32493249324932494</v>
      </c>
      <c r="C48" s="352">
        <f>+C47/-4.6-1</f>
        <v>0.89130434782608692</v>
      </c>
      <c r="D48" s="138">
        <f>+D47/-54.4-1</f>
        <v>0.32536764705882337</v>
      </c>
      <c r="E48" s="138">
        <f>+E47/-56.4-1</f>
        <v>7.0921985815602939E-2</v>
      </c>
      <c r="F48" s="353">
        <f>+F47/-31.8-1</f>
        <v>-0.82704402515723274</v>
      </c>
      <c r="G48" s="138">
        <f>G47/B47-1</f>
        <v>-3.3967391304348116E-3</v>
      </c>
      <c r="H48" s="139">
        <f>IF(H47*C47&lt;=0,"n/a",IF((H47-C47)/C47&gt;100%,"&gt;100%",(H47-C47)/C47))</f>
        <v>-4.5977011494252713E-2</v>
      </c>
      <c r="I48" s="138">
        <f>IF(I47*D47&lt;=0,"n/a",IF((I47-D47)/D47&gt;100%,"&gt;100%",(I47-D47)/D47))</f>
        <v>-0.35922330097087368</v>
      </c>
      <c r="J48" s="138">
        <f>IF(J47*E47&lt;=0,"n/a",IF((J47-E47)/E47&gt;100%,"&gt;100%",(J47-E47)/E47))</f>
        <v>-0.20529801324503311</v>
      </c>
      <c r="K48" s="353" t="str">
        <f>IF(K47*F47&lt;=0,"n/a",IF((K47-F47)/F47&gt;100%,"&gt;100%",(K47-F47)/F47))</f>
        <v>&gt;100%</v>
      </c>
      <c r="L48" s="353">
        <f>IF(L47*G47&lt;=0,"n/a",IF((L47-G47)/G47&gt;100%,"&gt;100%",(L47-G47)/G47))</f>
        <v>-0.22143509085207935</v>
      </c>
      <c r="M48" s="353">
        <f t="shared" ref="M48:S48" si="101">IF(M47*F47&lt;=0,"n/a",IF((M47-F47)/F47&gt;100%,"&gt;100%",(M47-F47)/F47))</f>
        <v>0.8</v>
      </c>
      <c r="N48" s="140">
        <f t="shared" si="101"/>
        <v>-0.24991121448807116</v>
      </c>
      <c r="O48" s="139" t="str">
        <f t="shared" si="101"/>
        <v>n/a</v>
      </c>
      <c r="P48" s="138">
        <f t="shared" si="101"/>
        <v>-6.4935064935064929E-2</v>
      </c>
      <c r="Q48" s="138">
        <f t="shared" si="101"/>
        <v>-0.16666666666666666</v>
      </c>
      <c r="R48" s="353">
        <f t="shared" si="101"/>
        <v>-0.27381572788507047</v>
      </c>
      <c r="S48" s="354">
        <f t="shared" si="101"/>
        <v>-0.23821536629748738</v>
      </c>
      <c r="T48" s="139" t="s">
        <v>61</v>
      </c>
      <c r="U48" s="138" t="s">
        <v>61</v>
      </c>
      <c r="V48" s="138"/>
      <c r="W48" s="138" t="s">
        <v>61</v>
      </c>
      <c r="X48" s="353">
        <f>IF(X47*M47&lt;=0,"n/a",IF((X47-M47)/M47&gt;100%,"&gt;100%",(X47-M47)/M47))</f>
        <v>-0.10024326952459468</v>
      </c>
      <c r="Y48" s="354">
        <f>IF(Y47*N47&lt;=0,"n/a",IF((Y47-N47)/N47&gt;100%,"&gt;100%",(Y47-N47)/N47))</f>
        <v>-0.22292687677523793</v>
      </c>
      <c r="Z48" s="139">
        <f>IF(Z47*T47&lt;=0,"n/a",IF((Z47-T47)/T47&gt;100%,"&gt;100%",(Z47-T47)/T47))</f>
        <v>0.24523819002876399</v>
      </c>
      <c r="AA48" s="138">
        <f>IF(OR(((AA47-U47)/U47)&gt;=100%,((AA47-U47)/U47)&lt;=-100%),"&gt;100%",((AA47-U47)/ABS(U47)))</f>
        <v>0.14825581395348839</v>
      </c>
      <c r="AB48" s="138">
        <f>IF(OR(((AB47-V47)/V47)&gt;=100%,((AB47-V47)/V47)&lt;=-100%),"&gt;100%",((AB47-V47)/ABS(V47)))</f>
        <v>0.18700362061079784</v>
      </c>
      <c r="AC48" s="138">
        <f t="shared" ref="AC48:AI48" si="102">IF(AC47*W47&lt;=0,"n/a",IF((AC47-W47)/W47&gt;100%,"&gt;100%",(AC47-W47)/W47))</f>
        <v>0.24083278150891946</v>
      </c>
      <c r="AD48" s="353">
        <f t="shared" si="102"/>
        <v>0.23490169451028439</v>
      </c>
      <c r="AE48" s="354">
        <f t="shared" si="102"/>
        <v>4.4351715396545623E-2</v>
      </c>
      <c r="AF48" s="139" t="str">
        <f t="shared" si="102"/>
        <v>&gt;100%</v>
      </c>
      <c r="AG48" s="138">
        <f t="shared" si="102"/>
        <v>0.21228668941979517</v>
      </c>
      <c r="AH48" s="138">
        <f t="shared" si="102"/>
        <v>4.3205027494108518E-2</v>
      </c>
      <c r="AI48" s="138">
        <f t="shared" si="102"/>
        <v>-4.6799354491662275E-2</v>
      </c>
      <c r="AJ48" s="353">
        <f>IF(OR(((AJ47-AD47)/AD47)&gt;=100%,((AJ47-AD47)/AD47)&lt;=-100%),"&gt;100%",((AJ47-AD47)/ABS(AD47)))</f>
        <v>0.28181818181818175</v>
      </c>
      <c r="AK48" s="354">
        <f>IF(OR(((AK47-AE47)/AE47)&gt;=100%,((AK47-AE47)/AE47)&lt;=-100%),"&gt;100%",((AK47-AE47)/ABS(AE47)))</f>
        <v>4.3673012318029177E-2</v>
      </c>
      <c r="AL48" s="139">
        <f>IF(AL47*AH47&lt;=0,"n/a",IF((AL47-AH47)/AH47&gt;100%,"&gt;100%",(AL47-AH47)/AH47))</f>
        <v>0.31626506024096385</v>
      </c>
      <c r="AM48" s="354">
        <f>IF(AM47*AK47&lt;=0,"n/a",IF((AM47-AK47)/AK47&gt;100%,"&gt;100%",(AM47-AK47)/AK47))</f>
        <v>0.15456674473067902</v>
      </c>
      <c r="AN48" s="139">
        <f t="shared" ref="AN48:AW48" si="103">AN47/AL47-1</f>
        <v>0.13043478260869557</v>
      </c>
      <c r="AO48" s="354">
        <f t="shared" si="103"/>
        <v>0.18154158215010141</v>
      </c>
      <c r="AP48" s="139">
        <f t="shared" si="103"/>
        <v>0.40283400809716596</v>
      </c>
      <c r="AQ48" s="354">
        <f t="shared" si="103"/>
        <v>0.25407725321888397</v>
      </c>
      <c r="AR48" s="139">
        <f t="shared" si="103"/>
        <v>7.9365079365079305E-2</v>
      </c>
      <c r="AS48" s="354">
        <f t="shared" si="103"/>
        <v>0.17111567419575624</v>
      </c>
      <c r="AT48" s="139">
        <f t="shared" si="103"/>
        <v>-9.3582887700535133E-3</v>
      </c>
      <c r="AU48" s="354">
        <f t="shared" si="103"/>
        <v>6.3120981881940486E-2</v>
      </c>
      <c r="AV48" s="398">
        <f t="shared" si="103"/>
        <v>-0.40620782726045879</v>
      </c>
      <c r="AW48" s="354">
        <f t="shared" si="103"/>
        <v>-4.3430456294667463E-2</v>
      </c>
      <c r="AX48" s="398">
        <f t="shared" ref="AX48" si="104">AX47/AV47-1</f>
        <v>0.85227272727272729</v>
      </c>
      <c r="AY48" s="354">
        <f t="shared" ref="AY48" si="105">AY47/AW47-1</f>
        <v>8.1609195402298829E-2</v>
      </c>
      <c r="AZ48" s="398">
        <v>0.28644171779141092</v>
      </c>
      <c r="BA48" s="354">
        <v>0.19211001062699262</v>
      </c>
      <c r="BB48" s="398">
        <v>0.36199999999999999</v>
      </c>
      <c r="BC48" s="354">
        <v>0.23499999999999999</v>
      </c>
      <c r="BD48" s="354">
        <v>-1.9E-2</v>
      </c>
      <c r="BE48" s="354"/>
      <c r="BF48" s="53"/>
      <c r="BG48" s="473"/>
    </row>
    <row r="49" spans="1:59" s="53" customFormat="1">
      <c r="A49" s="92" t="s">
        <v>93</v>
      </c>
      <c r="B49" s="169">
        <v>22.4</v>
      </c>
      <c r="C49" s="169">
        <v>2.2999999999999998</v>
      </c>
      <c r="D49" s="170">
        <v>4.5</v>
      </c>
      <c r="E49" s="170">
        <v>3.3</v>
      </c>
      <c r="F49" s="171">
        <v>2</v>
      </c>
      <c r="G49" s="170">
        <f>SUM(C49:F49)</f>
        <v>12.1</v>
      </c>
      <c r="H49" s="196">
        <v>1</v>
      </c>
      <c r="I49" s="172">
        <v>3.2</v>
      </c>
      <c r="J49" s="172">
        <v>-1.6</v>
      </c>
      <c r="K49" s="173">
        <v>1.2999999999999998</v>
      </c>
      <c r="L49" s="173">
        <f>SUM(H49:K49)</f>
        <v>3.9</v>
      </c>
      <c r="M49" s="172">
        <v>1.1000000000000001</v>
      </c>
      <c r="N49" s="179">
        <v>1.2999999999999998</v>
      </c>
      <c r="O49" s="196">
        <v>0.1</v>
      </c>
      <c r="P49" s="172">
        <v>0.8</v>
      </c>
      <c r="Q49" s="172">
        <v>1.6</v>
      </c>
      <c r="R49" s="172">
        <f>S49-Q49-P49-O49</f>
        <v>0.6</v>
      </c>
      <c r="S49" s="179">
        <v>3.1</v>
      </c>
      <c r="T49" s="196">
        <v>0.1</v>
      </c>
      <c r="U49" s="172">
        <v>0.70000000000000007</v>
      </c>
      <c r="V49" s="172">
        <f>T49+U49</f>
        <v>0.8</v>
      </c>
      <c r="W49" s="172">
        <f>Y49-U49-T49-X49</f>
        <v>1.5999999999999996</v>
      </c>
      <c r="X49" s="172">
        <v>0.60000000000000009</v>
      </c>
      <c r="Y49" s="179">
        <v>3</v>
      </c>
      <c r="Z49" s="196">
        <v>0</v>
      </c>
      <c r="AA49" s="172">
        <v>-0.1</v>
      </c>
      <c r="AB49" s="172">
        <f>Z49+AA49</f>
        <v>-0.1</v>
      </c>
      <c r="AC49" s="172">
        <v>0.1</v>
      </c>
      <c r="AD49" s="172">
        <v>0</v>
      </c>
      <c r="AE49" s="179">
        <v>0</v>
      </c>
      <c r="AF49" s="196">
        <v>-0.1</v>
      </c>
      <c r="AG49" s="172">
        <v>0.1</v>
      </c>
      <c r="AH49" s="172">
        <f>AF49+AG49</f>
        <v>0</v>
      </c>
      <c r="AI49" s="172">
        <v>-0.1</v>
      </c>
      <c r="AJ49" s="172">
        <v>-0.5</v>
      </c>
      <c r="AK49" s="179">
        <v>-0.6</v>
      </c>
      <c r="AL49" s="196">
        <v>0.3</v>
      </c>
      <c r="AM49" s="179">
        <v>0.4</v>
      </c>
      <c r="AN49" s="196">
        <v>0.2</v>
      </c>
      <c r="AO49" s="179">
        <v>0.5</v>
      </c>
      <c r="AP49" s="196">
        <v>0.2</v>
      </c>
      <c r="AQ49" s="179">
        <v>0.5</v>
      </c>
      <c r="AR49" s="196">
        <v>0.2</v>
      </c>
      <c r="AS49" s="179">
        <v>0.7</v>
      </c>
      <c r="AT49" s="196">
        <v>0.1</v>
      </c>
      <c r="AU49" s="179">
        <v>0.5</v>
      </c>
      <c r="AV49" s="397">
        <v>0.1</v>
      </c>
      <c r="AW49" s="405">
        <v>0.1</v>
      </c>
      <c r="AX49" s="397">
        <v>0.3</v>
      </c>
      <c r="AY49" s="405">
        <v>0.3</v>
      </c>
      <c r="AZ49" s="397">
        <v>-0.5</v>
      </c>
      <c r="BA49" s="405">
        <v>0.2</v>
      </c>
      <c r="BB49" s="500">
        <v>-0.6</v>
      </c>
      <c r="BC49" s="405">
        <v>-0.8</v>
      </c>
      <c r="BD49" s="405">
        <v>-1.3</v>
      </c>
      <c r="BE49" s="405"/>
      <c r="BG49" s="473"/>
    </row>
    <row r="50" spans="1:59" s="54" customFormat="1">
      <c r="A50" s="351" t="s">
        <v>141</v>
      </c>
      <c r="B50" s="352">
        <v>0.82113821138211351</v>
      </c>
      <c r="C50" s="352">
        <f>+C49/4.6-1</f>
        <v>-0.5</v>
      </c>
      <c r="D50" s="138">
        <f>+D49/6.5-1</f>
        <v>-0.30769230769230771</v>
      </c>
      <c r="E50" s="138" t="s">
        <v>83</v>
      </c>
      <c r="F50" s="353">
        <f>+F49/10.1-1</f>
        <v>-0.80198019801980203</v>
      </c>
      <c r="G50" s="138">
        <f>G49/B49-1</f>
        <v>-0.4598214285714286</v>
      </c>
      <c r="H50" s="139">
        <f>IF(H49*C49&lt;=0,"n/a",IF((H49-C49)/C49&gt;100%,"&gt;100%",(H49-C49)/C49))</f>
        <v>-0.56521739130434778</v>
      </c>
      <c r="I50" s="138">
        <f>IF(I49*D49&lt;=0,"n/a",IF((I49-D49)/D49&gt;100%,"&gt;100%",(I49-D49)/D49))</f>
        <v>-0.28888888888888886</v>
      </c>
      <c r="J50" s="138" t="str">
        <f>IF(J49*E49&lt;=0,"n/a",IF((J49-E49)/E49&gt;100%,"&gt;100%",(J49-E49)/E49))</f>
        <v>n/a</v>
      </c>
      <c r="K50" s="353">
        <f>IF(K49*F49&lt;=0,"n/a",IF((K49-F49)/F49&gt;100%,"&gt;100%",(K49-F49)/F49))</f>
        <v>-0.35000000000000009</v>
      </c>
      <c r="L50" s="353">
        <f>IF(L49*G49&lt;=0,"n/a",IF((L49-G49)/G49&gt;100%,"&gt;100%",(L49-G49)/G49))</f>
        <v>-0.6776859504132231</v>
      </c>
      <c r="M50" s="353">
        <f t="shared" ref="M50:S50" si="106">IF(M49*F49&lt;=0,"n/a",IF((M49-F49)/F49&gt;100%,"&gt;100%",(M49-F49)/F49))</f>
        <v>-0.44999999999999996</v>
      </c>
      <c r="N50" s="140">
        <f t="shared" si="106"/>
        <v>-0.89256198347107452</v>
      </c>
      <c r="O50" s="139">
        <f t="shared" si="106"/>
        <v>-0.9</v>
      </c>
      <c r="P50" s="138">
        <f t="shared" si="106"/>
        <v>-0.75000000000000011</v>
      </c>
      <c r="Q50" s="138" t="str">
        <f t="shared" si="106"/>
        <v>n/a</v>
      </c>
      <c r="R50" s="353">
        <f t="shared" si="106"/>
        <v>-0.53846153846153844</v>
      </c>
      <c r="S50" s="354">
        <f t="shared" si="106"/>
        <v>-0.20512820512820509</v>
      </c>
      <c r="T50" s="139" t="s">
        <v>61</v>
      </c>
      <c r="U50" s="138" t="s">
        <v>61</v>
      </c>
      <c r="V50" s="138"/>
      <c r="W50" s="138" t="s">
        <v>61</v>
      </c>
      <c r="X50" s="353">
        <f>IF(X49*M49&lt;=0,"n/a",IF((X49-M49)/M49&gt;100%,"&gt;100%",(X49-M49)/M49))</f>
        <v>-0.45454545454545453</v>
      </c>
      <c r="Y50" s="354" t="str">
        <f>IF(Y49*N49&lt;=0,"n/a",IF((Y49-N49)/N49&gt;100%,"&gt;100%",(Y49-N49)/N49))</f>
        <v>&gt;100%</v>
      </c>
      <c r="Z50" s="139" t="str">
        <f>IF(Z49*T49&lt;=0,"n/a",IF((Z49-T49)/T49&gt;100%,"&gt;100%",(Z49-T49)/T49))</f>
        <v>n/a</v>
      </c>
      <c r="AA50" s="138" t="str">
        <f>IF(OR(((AA49-U49)/U49)&gt;=100%,((AA49-U49)/U49)&lt;=-100%),"&gt;100%",((AA49-U49)/ABS(U49)))</f>
        <v>&gt;100%</v>
      </c>
      <c r="AB50" s="138" t="str">
        <f>IF(OR(((AB49-V49)/V49)&gt;=100%,((AB49-V49)/V49)&lt;=-100%),"&gt;100%",((AB49-V49)/ABS(V49)))</f>
        <v>&gt;100%</v>
      </c>
      <c r="AC50" s="138">
        <f t="shared" ref="AC50:AI50" si="107">IF(AC49*W49&lt;=0,"n/a",IF((AC49-W49)/W49&gt;100%,"&gt;100%",(AC49-W49)/W49))</f>
        <v>-0.93749999999999989</v>
      </c>
      <c r="AD50" s="353" t="str">
        <f t="shared" si="107"/>
        <v>n/a</v>
      </c>
      <c r="AE50" s="354" t="str">
        <f t="shared" si="107"/>
        <v>n/a</v>
      </c>
      <c r="AF50" s="139" t="str">
        <f t="shared" si="107"/>
        <v>n/a</v>
      </c>
      <c r="AG50" s="138" t="str">
        <f t="shared" si="107"/>
        <v>n/a</v>
      </c>
      <c r="AH50" s="138" t="str">
        <f t="shared" si="107"/>
        <v>n/a</v>
      </c>
      <c r="AI50" s="138" t="str">
        <f t="shared" si="107"/>
        <v>n/a</v>
      </c>
      <c r="AJ50" s="353" t="s">
        <v>61</v>
      </c>
      <c r="AK50" s="354" t="s">
        <v>61</v>
      </c>
      <c r="AL50" s="139" t="str">
        <f>IF(AL49*AH49&lt;=0,"n/a",IF((AL49-AH49)/AH49&gt;100%,"&gt;100%",(AL49-AH49)/AH49))</f>
        <v>n/a</v>
      </c>
      <c r="AM50" s="354" t="str">
        <f>IF(AM49*AI49&lt;=0,"n/a",IF((AM49-AI49)/AI49&gt;100%,"&gt;100%",(AM49-AI49)/AI49))</f>
        <v>n/a</v>
      </c>
      <c r="AN50" s="139">
        <f t="shared" ref="AN50:AW50" si="108">IF(AN49*AL49&lt;=0,"n/a",IF((AN49-AL49)/AL49&gt;100%,"&gt;100%",(AN49-AL49)/AL49))</f>
        <v>-0.33333333333333326</v>
      </c>
      <c r="AO50" s="354">
        <f t="shared" si="108"/>
        <v>0.24999999999999994</v>
      </c>
      <c r="AP50" s="139">
        <f t="shared" si="108"/>
        <v>0</v>
      </c>
      <c r="AQ50" s="354">
        <f t="shared" si="108"/>
        <v>0</v>
      </c>
      <c r="AR50" s="139">
        <f t="shared" si="108"/>
        <v>0</v>
      </c>
      <c r="AS50" s="354">
        <f t="shared" si="108"/>
        <v>0.39999999999999991</v>
      </c>
      <c r="AT50" s="139">
        <f t="shared" si="108"/>
        <v>-0.5</v>
      </c>
      <c r="AU50" s="354">
        <f t="shared" si="108"/>
        <v>-0.28571428571428564</v>
      </c>
      <c r="AV50" s="398">
        <f t="shared" si="108"/>
        <v>0</v>
      </c>
      <c r="AW50" s="354">
        <f t="shared" si="108"/>
        <v>-0.8</v>
      </c>
      <c r="AX50" s="398" t="str">
        <f t="shared" ref="AX50" si="109">IF(AX49*AV49&lt;=0,"n/a",IF((AX49-AV49)/AV49&gt;100%,"&gt;100%",(AX49-AV49)/AV49))</f>
        <v>&gt;100%</v>
      </c>
      <c r="AY50" s="354" t="str">
        <f t="shared" ref="AY50" si="110">IF(AY49*AW49&lt;=0,"n/a",IF((AY49-AW49)/AW49&gt;100%,"&gt;100%",(AY49-AW49)/AW49))</f>
        <v>&gt;100%</v>
      </c>
      <c r="AZ50" s="398" t="s">
        <v>61</v>
      </c>
      <c r="BA50" s="354">
        <v>-0.33333333333333326</v>
      </c>
      <c r="BB50" s="398">
        <f>BB49/AZ49-1</f>
        <v>0.19999999999999996</v>
      </c>
      <c r="BC50" s="354" t="s">
        <v>168</v>
      </c>
      <c r="BD50" s="354">
        <f>BD49/BB49-1</f>
        <v>1.166666666666667</v>
      </c>
      <c r="BE50" s="354"/>
      <c r="BF50" s="53"/>
      <c r="BG50" s="473"/>
    </row>
    <row r="51" spans="1:59" s="53" customFormat="1">
      <c r="A51" s="92" t="s">
        <v>84</v>
      </c>
      <c r="B51" s="169">
        <v>399.2</v>
      </c>
      <c r="C51" s="169">
        <v>25.7</v>
      </c>
      <c r="D51" s="170">
        <v>171.9</v>
      </c>
      <c r="E51" s="170">
        <v>207</v>
      </c>
      <c r="F51" s="171">
        <v>22</v>
      </c>
      <c r="G51" s="170">
        <f>SUM(C51:F51)</f>
        <v>426.6</v>
      </c>
      <c r="H51" s="196">
        <v>-8.9</v>
      </c>
      <c r="I51" s="172">
        <v>141.4</v>
      </c>
      <c r="J51" s="172">
        <v>148.19999999999999</v>
      </c>
      <c r="K51" s="173">
        <f>K41+K45-K49</f>
        <v>-11.799999999999709</v>
      </c>
      <c r="L51" s="173">
        <f>SUM(H51:K51)</f>
        <v>268.90000000000026</v>
      </c>
      <c r="M51" s="172">
        <v>-11.6</v>
      </c>
      <c r="N51" s="179">
        <f t="shared" ref="N51:AE51" si="111">N41+N45-N49</f>
        <v>264.4000000000006</v>
      </c>
      <c r="O51" s="196">
        <f t="shared" si="111"/>
        <v>-28.400000000000013</v>
      </c>
      <c r="P51" s="172">
        <f t="shared" si="111"/>
        <v>119.59999999999994</v>
      </c>
      <c r="Q51" s="172">
        <f t="shared" si="111"/>
        <v>146.49999999999989</v>
      </c>
      <c r="R51" s="172">
        <f t="shared" si="111"/>
        <v>-45.700000000000429</v>
      </c>
      <c r="S51" s="179">
        <f t="shared" si="111"/>
        <v>191.99999999999991</v>
      </c>
      <c r="T51" s="196">
        <f t="shared" si="111"/>
        <v>-28.899999999999896</v>
      </c>
      <c r="U51" s="172">
        <f t="shared" si="111"/>
        <v>117.49999999999959</v>
      </c>
      <c r="V51" s="172">
        <f>T51+U51</f>
        <v>88.599999999999696</v>
      </c>
      <c r="W51" s="172">
        <f t="shared" si="111"/>
        <v>147.59999999999923</v>
      </c>
      <c r="X51" s="172">
        <f t="shared" si="111"/>
        <v>-45.799999999999983</v>
      </c>
      <c r="Y51" s="179">
        <f t="shared" si="111"/>
        <v>190.39999999999895</v>
      </c>
      <c r="Z51" s="196">
        <f t="shared" si="111"/>
        <v>-24.399999999999899</v>
      </c>
      <c r="AA51" s="172">
        <f t="shared" si="111"/>
        <v>89.999999999999488</v>
      </c>
      <c r="AB51" s="172">
        <f>Z51+AA51</f>
        <v>65.599999999999596</v>
      </c>
      <c r="AC51" s="172">
        <f t="shared" si="111"/>
        <v>147.20000000000024</v>
      </c>
      <c r="AD51" s="172">
        <f t="shared" si="111"/>
        <v>8.3999999999999559</v>
      </c>
      <c r="AE51" s="179">
        <f t="shared" si="111"/>
        <v>221.19999999999979</v>
      </c>
      <c r="AF51" s="196">
        <f>AF41+AF45-AF49</f>
        <v>-39.200000000000095</v>
      </c>
      <c r="AG51" s="172">
        <f>AG41+AG45-AG49</f>
        <v>134.3000000000001</v>
      </c>
      <c r="AH51" s="172">
        <f>AF51+AG51</f>
        <v>95.1</v>
      </c>
      <c r="AI51" s="172">
        <f t="shared" ref="AI51:AO51" si="112">AI41+AI45-AI49</f>
        <v>133.19999999999973</v>
      </c>
      <c r="AJ51" s="172">
        <f t="shared" si="112"/>
        <v>66.500000000000085</v>
      </c>
      <c r="AK51" s="179">
        <f t="shared" si="112"/>
        <v>294.79999999999973</v>
      </c>
      <c r="AL51" s="196">
        <f t="shared" si="112"/>
        <v>125.20000000000016</v>
      </c>
      <c r="AM51" s="179">
        <f t="shared" si="112"/>
        <v>280.30000000000007</v>
      </c>
      <c r="AN51" s="196">
        <f t="shared" si="112"/>
        <v>140</v>
      </c>
      <c r="AO51" s="179">
        <f t="shared" si="112"/>
        <v>343.5</v>
      </c>
      <c r="AP51" s="196">
        <f>191.6</f>
        <v>191.6</v>
      </c>
      <c r="AQ51" s="179">
        <v>426</v>
      </c>
      <c r="AR51" s="196">
        <v>216.9</v>
      </c>
      <c r="AS51" s="179">
        <v>447.4</v>
      </c>
      <c r="AT51" s="196">
        <v>195.1</v>
      </c>
      <c r="AU51" s="179">
        <v>487.5</v>
      </c>
      <c r="AV51" s="397">
        <v>124</v>
      </c>
      <c r="AW51" s="179">
        <v>414.9</v>
      </c>
      <c r="AX51" s="397">
        <v>233.1</v>
      </c>
      <c r="AY51" s="179">
        <v>547.20000000000005</v>
      </c>
      <c r="AZ51" s="397">
        <v>152.9</v>
      </c>
      <c r="BA51" s="179">
        <v>415.4</v>
      </c>
      <c r="BB51" s="397">
        <v>385.7</v>
      </c>
      <c r="BC51" s="179">
        <v>636.5</v>
      </c>
      <c r="BD51" s="179">
        <v>381.6</v>
      </c>
      <c r="BE51" s="179"/>
      <c r="BG51" s="473"/>
    </row>
    <row r="52" spans="1:59" s="54" customFormat="1">
      <c r="A52" s="351" t="s">
        <v>141</v>
      </c>
      <c r="B52" s="352">
        <v>0.75395430579964851</v>
      </c>
      <c r="C52" s="352" t="s">
        <v>83</v>
      </c>
      <c r="D52" s="138">
        <f>+D51/188.1-1</f>
        <v>-8.6124401913875492E-2</v>
      </c>
      <c r="E52" s="138">
        <f>+E51/206.1-1</f>
        <v>4.366812227074357E-3</v>
      </c>
      <c r="F52" s="353" t="s">
        <v>83</v>
      </c>
      <c r="G52" s="138">
        <f>G51/B51-1</f>
        <v>6.8637274549098182E-2</v>
      </c>
      <c r="H52" s="139" t="str">
        <f>IF(H51*C51&lt;=0,"n/a",IF((H51-C51)/C51&gt;100%,"&gt;100%",(H51-C51)/C51))</f>
        <v>n/a</v>
      </c>
      <c r="I52" s="138">
        <f>IF(I51*D51&lt;=0,"n/a",IF((I51-D51)/D51&gt;100%,"&gt;100%",(I51-D51)/D51))</f>
        <v>-0.17742873763816172</v>
      </c>
      <c r="J52" s="138">
        <f>IF(J51*E51&lt;=0,"n/a",IF((J51-E51)/E51&gt;100%,"&gt;100%",(J51-E51)/E51))</f>
        <v>-0.28405797101449282</v>
      </c>
      <c r="K52" s="353" t="str">
        <f>IF(K51*F51&lt;=0,"n/a",IF((K51-F51)/F51&gt;100%,"&gt;100%",(K51-F51)/F51))</f>
        <v>n/a</v>
      </c>
      <c r="L52" s="353">
        <f>IF(L51*G51&lt;=0,"n/a",IF((L51-G51)/G51&gt;100%,"&gt;100%",(L51-G51)/G51))</f>
        <v>-0.3696671354899197</v>
      </c>
      <c r="M52" s="353" t="str">
        <f t="shared" ref="M52:S52" si="113">IF(M51*F51&lt;=0,"n/a",IF((M51-F51)/F51&gt;100%,"&gt;100%",(M51-F51)/F51))</f>
        <v>n/a</v>
      </c>
      <c r="N52" s="140">
        <f t="shared" si="113"/>
        <v>-0.38021565869666996</v>
      </c>
      <c r="O52" s="139" t="str">
        <f t="shared" si="113"/>
        <v>&gt;100%</v>
      </c>
      <c r="P52" s="138">
        <f t="shared" si="113"/>
        <v>-0.15417256011315464</v>
      </c>
      <c r="Q52" s="138">
        <f t="shared" si="113"/>
        <v>-1.1470985155196373E-2</v>
      </c>
      <c r="R52" s="353" t="str">
        <f t="shared" si="113"/>
        <v>&gt;100%</v>
      </c>
      <c r="S52" s="354">
        <f t="shared" si="113"/>
        <v>-0.28597991818519997</v>
      </c>
      <c r="T52" s="139" t="s">
        <v>61</v>
      </c>
      <c r="U52" s="138" t="s">
        <v>61</v>
      </c>
      <c r="V52" s="138"/>
      <c r="W52" s="138" t="s">
        <v>61</v>
      </c>
      <c r="X52" s="353" t="str">
        <f>IF(X51*M51&lt;=0,"n/a",IF((X51-M51)/M51&gt;100%,"&gt;100%",(X51-M51)/M51))</f>
        <v>&gt;100%</v>
      </c>
      <c r="Y52" s="354">
        <f>IF(Y51*N51&lt;=0,"n/a",IF((Y51-N51)/N51&gt;100%,"&gt;100%",(Y51-N51)/N51))</f>
        <v>-0.27987897125567884</v>
      </c>
      <c r="Z52" s="139">
        <f>IF(Z51*T51&lt;=0,"n/a",IF((Z51-T51)/T51&gt;100%,"&gt;100%",(Z51-T51)/T51))</f>
        <v>-0.15570934256055408</v>
      </c>
      <c r="AA52" s="138">
        <f>IF(OR(((AA51-U51)/U51)&gt;=100%,((AA51-U51)/U51)&lt;=-100%),"&gt;100%",((AA51-U51)/ABS(U51)))</f>
        <v>-0.23404255319149103</v>
      </c>
      <c r="AB52" s="138">
        <f>IF(OR(((AB51-V51)/V51)&gt;=100%,((AB51-V51)/V51)&lt;=-100%),"&gt;100%",((AB51-V51)/ABS(V51)))</f>
        <v>-0.2595936794582413</v>
      </c>
      <c r="AC52" s="138">
        <f t="shared" ref="AC52:AI52" si="114">IF(AC51*W51&lt;=0,"n/a",IF((AC51-W51)/W51&gt;100%,"&gt;100%",(AC51-W51)/W51))</f>
        <v>-2.7100271002641232E-3</v>
      </c>
      <c r="AD52" s="353" t="str">
        <f t="shared" si="114"/>
        <v>n/a</v>
      </c>
      <c r="AE52" s="354">
        <f t="shared" si="114"/>
        <v>0.16176470588235822</v>
      </c>
      <c r="AF52" s="139">
        <f t="shared" si="114"/>
        <v>0.60655737704919088</v>
      </c>
      <c r="AG52" s="138">
        <f t="shared" si="114"/>
        <v>0.49222222222223178</v>
      </c>
      <c r="AH52" s="138">
        <f t="shared" si="114"/>
        <v>0.44969512195122835</v>
      </c>
      <c r="AI52" s="138">
        <f t="shared" si="114"/>
        <v>-9.5108695652177236E-2</v>
      </c>
      <c r="AJ52" s="353" t="str">
        <f>IF(OR(((AJ51-AD51)/AD51)&gt;=100%,((AJ51-AD51)/AD51)&lt;=-100%),"&gt;100%",((AJ51-AD51)/ABS(AD51)))</f>
        <v>&gt;100%</v>
      </c>
      <c r="AK52" s="354">
        <f>IF(OR(((AK51-AE51)/AE51)&gt;=100%,((AK51-AE51)/AE51)&lt;=-100%),"&gt;100%",((AK51-AE51)/ABS(AE51)))</f>
        <v>0.3327305605786619</v>
      </c>
      <c r="AL52" s="139">
        <f>IF(AL51*AH51&lt;=0,"n/a",IF((AL51-AH51)/AH51&gt;100%,"&gt;100%",(AL51-AH51)/AH51))</f>
        <v>0.31650893796004381</v>
      </c>
      <c r="AM52" s="354">
        <f>IF(AM51*AK51&lt;=0,"n/a",IF((AM51-AK51)/AK51&gt;100%,"&gt;100%",(AM51-AK51)/AK51))</f>
        <v>-4.9185888738126432E-2</v>
      </c>
      <c r="AN52" s="139">
        <f t="shared" ref="AN52:AS52" si="115">IF(AN51*AL51&lt;=0,"n/a",IF((AN51-AL51)/AL51&gt;100%,"&gt;100%",(AN51-AL51)/AL51))</f>
        <v>0.11821086261980689</v>
      </c>
      <c r="AO52" s="354">
        <f t="shared" si="115"/>
        <v>0.22547270781305714</v>
      </c>
      <c r="AP52" s="139">
        <f t="shared" si="115"/>
        <v>0.36857142857142855</v>
      </c>
      <c r="AQ52" s="354">
        <f t="shared" si="115"/>
        <v>0.24017467248908297</v>
      </c>
      <c r="AR52" s="139">
        <f t="shared" si="115"/>
        <v>0.1320459290187892</v>
      </c>
      <c r="AS52" s="354">
        <f t="shared" si="115"/>
        <v>5.0234741784037508E-2</v>
      </c>
      <c r="AT52" s="139">
        <f t="shared" ref="AT52:AY52" si="116">IF(AT51*AR51&lt;=0,"n/a",IF((AT51-AR51)/AR51&gt;100%,"&gt;100%",(AT51-AR51)/AR51))</f>
        <v>-0.10050714615029972</v>
      </c>
      <c r="AU52" s="354">
        <f t="shared" si="116"/>
        <v>8.9628967367009441E-2</v>
      </c>
      <c r="AV52" s="398">
        <f t="shared" si="116"/>
        <v>-0.36442849820604817</v>
      </c>
      <c r="AW52" s="398">
        <f t="shared" si="116"/>
        <v>-0.14892307692307696</v>
      </c>
      <c r="AX52" s="398">
        <f t="shared" si="116"/>
        <v>0.87983870967741928</v>
      </c>
      <c r="AY52" s="398">
        <f t="shared" si="116"/>
        <v>0.31887201735357934</v>
      </c>
      <c r="AZ52" s="398">
        <v>-0.34405834405834401</v>
      </c>
      <c r="BA52" s="398">
        <v>-0.24086257309941528</v>
      </c>
      <c r="BB52" s="398" t="s">
        <v>83</v>
      </c>
      <c r="BC52" s="398">
        <v>0.53200000000000003</v>
      </c>
      <c r="BD52" s="398">
        <v>-1.0999999999999999E-2</v>
      </c>
      <c r="BE52" s="398"/>
      <c r="BF52" s="53"/>
      <c r="BG52" s="473"/>
    </row>
    <row r="53" spans="1:59" s="53" customFormat="1">
      <c r="A53" s="92" t="s">
        <v>85</v>
      </c>
      <c r="B53" s="169">
        <v>417.1</v>
      </c>
      <c r="C53" s="169">
        <v>29.2</v>
      </c>
      <c r="D53" s="170">
        <v>172.7</v>
      </c>
      <c r="E53" s="170">
        <v>216.6</v>
      </c>
      <c r="F53" s="171">
        <v>34.6</v>
      </c>
      <c r="G53" s="170">
        <f>SUM(C53:F53)</f>
        <v>453.1</v>
      </c>
      <c r="H53" s="196">
        <v>-1</v>
      </c>
      <c r="I53" s="172">
        <v>147</v>
      </c>
      <c r="J53" s="172">
        <v>155.4</v>
      </c>
      <c r="K53" s="173">
        <f>K43+K47-K49</f>
        <v>28.88452782800027</v>
      </c>
      <c r="L53" s="173">
        <f>SUM(H53:K53)</f>
        <v>330.28452782800025</v>
      </c>
      <c r="M53" s="172">
        <v>28.7</v>
      </c>
      <c r="N53" s="179">
        <f t="shared" ref="N53:S53" si="117">N43+N47-N49</f>
        <v>325.61561076540096</v>
      </c>
      <c r="O53" s="196">
        <f t="shared" si="117"/>
        <v>-18.600000000000001</v>
      </c>
      <c r="P53" s="172">
        <f t="shared" si="117"/>
        <v>127.80000000000003</v>
      </c>
      <c r="Q53" s="172">
        <f t="shared" si="117"/>
        <v>155.6</v>
      </c>
      <c r="R53" s="172">
        <f t="shared" si="117"/>
        <v>21.992408368293304</v>
      </c>
      <c r="S53" s="179">
        <f t="shared" si="117"/>
        <v>286.79240836829331</v>
      </c>
      <c r="T53" s="196">
        <f t="shared" ref="T53:AE53" si="118">T43+T47-T49</f>
        <v>-19.127596510999926</v>
      </c>
      <c r="U53" s="172">
        <f t="shared" si="118"/>
        <v>126.19999999999972</v>
      </c>
      <c r="V53" s="172">
        <f>T53+U53</f>
        <v>107.0724034889998</v>
      </c>
      <c r="W53" s="172">
        <f t="shared" si="118"/>
        <v>156.12759651099867</v>
      </c>
      <c r="X53" s="172">
        <f t="shared" si="118"/>
        <v>22.289349368293497</v>
      </c>
      <c r="Y53" s="179">
        <f t="shared" si="118"/>
        <v>285.48934936829193</v>
      </c>
      <c r="Z53" s="196">
        <f t="shared" si="118"/>
        <v>-15.879999999999846</v>
      </c>
      <c r="AA53" s="172">
        <f t="shared" si="118"/>
        <v>126.5549999999995</v>
      </c>
      <c r="AB53" s="172">
        <f>Z53+AA53</f>
        <v>110.67499999999964</v>
      </c>
      <c r="AC53" s="172">
        <f t="shared" si="118"/>
        <v>148.12500000000034</v>
      </c>
      <c r="AD53" s="172">
        <f t="shared" si="118"/>
        <v>34.309003519999912</v>
      </c>
      <c r="AE53" s="179">
        <f t="shared" si="118"/>
        <v>293.10900351999993</v>
      </c>
      <c r="AF53" s="196">
        <f>AF43+AF47-AF49</f>
        <v>-35.789634240000048</v>
      </c>
      <c r="AG53" s="172">
        <f>AG43+AG47-AG49</f>
        <v>134.58963424000004</v>
      </c>
      <c r="AH53" s="172">
        <f>AF53+AG53</f>
        <v>98.799999999999983</v>
      </c>
      <c r="AI53" s="172">
        <f t="shared" ref="AI53:AO53" si="119">AI43+AI47-AI49</f>
        <v>148.19999999999973</v>
      </c>
      <c r="AJ53" s="172">
        <f t="shared" si="119"/>
        <v>30.40000000000008</v>
      </c>
      <c r="AK53" s="179">
        <f t="shared" si="119"/>
        <v>277.39999999999941</v>
      </c>
      <c r="AL53" s="196">
        <f t="shared" si="119"/>
        <v>141.7000000000001</v>
      </c>
      <c r="AM53" s="179">
        <f t="shared" si="119"/>
        <v>314.30000000000007</v>
      </c>
      <c r="AN53" s="196">
        <f t="shared" si="119"/>
        <v>150.4</v>
      </c>
      <c r="AO53" s="179">
        <f t="shared" si="119"/>
        <v>352.1</v>
      </c>
      <c r="AP53" s="196">
        <f>209.6</f>
        <v>209.6</v>
      </c>
      <c r="AQ53" s="179">
        <v>449.7</v>
      </c>
      <c r="AR53" s="196">
        <v>221.7</v>
      </c>
      <c r="AS53" s="179">
        <v>480.4</v>
      </c>
      <c r="AT53" s="196">
        <v>222.8</v>
      </c>
      <c r="AU53" s="179">
        <v>522.20000000000005</v>
      </c>
      <c r="AV53" s="397">
        <v>129</v>
      </c>
      <c r="AW53" s="179">
        <v>431.4</v>
      </c>
      <c r="AX53" s="397">
        <v>235.6</v>
      </c>
      <c r="AY53" s="179">
        <v>578.1</v>
      </c>
      <c r="AZ53" s="397">
        <v>316.89999999999998</v>
      </c>
      <c r="BA53" s="179">
        <v>624.9</v>
      </c>
      <c r="BB53" s="397">
        <v>388.9</v>
      </c>
      <c r="BC53" s="179">
        <v>764.2</v>
      </c>
      <c r="BD53" s="179">
        <v>380.3</v>
      </c>
      <c r="BE53" s="179"/>
      <c r="BG53" s="473"/>
    </row>
    <row r="54" spans="1:59" s="54" customFormat="1">
      <c r="A54" s="351" t="s">
        <v>141</v>
      </c>
      <c r="B54" s="352">
        <v>-1.6273584905660332E-2</v>
      </c>
      <c r="C54" s="352" t="s">
        <v>83</v>
      </c>
      <c r="D54" s="138">
        <f>+D53/193.5-1</f>
        <v>-0.10749354005167966</v>
      </c>
      <c r="E54" s="138">
        <f>+E53/210.2-1</f>
        <v>3.0447193149381491E-2</v>
      </c>
      <c r="F54" s="353" t="s">
        <v>83</v>
      </c>
      <c r="G54" s="138">
        <f>G53/B53-1</f>
        <v>8.6310237353152797E-2</v>
      </c>
      <c r="H54" s="139" t="str">
        <f>IF(H53*C53&lt;=0,"n/a",IF((H53-C53)/C53&gt;100%,"&gt;100%",(H53-C53)/C53))</f>
        <v>n/a</v>
      </c>
      <c r="I54" s="138">
        <f>IF(I53*D53&lt;=0,"n/a",IF((I53-D53)/D53&gt;100%,"&gt;100%",(I53-D53)/D53))</f>
        <v>-0.14881297046902137</v>
      </c>
      <c r="J54" s="138">
        <f>IF(J53*E53&lt;=0,"n/a",IF((J53-E53)/E53&gt;100%,"&gt;100%",(J53-E53)/E53))</f>
        <v>-0.2825484764542936</v>
      </c>
      <c r="K54" s="353">
        <f>IF(K53*F53&lt;=0,"n/a",IF((K53-F53)/F53&gt;100%,"&gt;100%",(K53-F53)/F53))</f>
        <v>-0.16518705699421191</v>
      </c>
      <c r="L54" s="353">
        <f>IF(L53*G53&lt;=0,"n/a",IF((L53-G53)/G53&gt;100%,"&gt;100%",(L53-G53)/G53))</f>
        <v>-0.27105599684837733</v>
      </c>
      <c r="M54" s="353">
        <f t="shared" ref="M54:S54" si="120">IF(M53*F53&lt;=0,"n/a",IF((M53-F53)/F53&gt;100%,"&gt;100%",(M53-F53)/F53))</f>
        <v>-0.17052023121387289</v>
      </c>
      <c r="N54" s="140">
        <f t="shared" si="120"/>
        <v>-0.2813603823319335</v>
      </c>
      <c r="O54" s="139" t="str">
        <f t="shared" si="120"/>
        <v>&gt;100%</v>
      </c>
      <c r="P54" s="138">
        <f t="shared" si="120"/>
        <v>-0.130612244897959</v>
      </c>
      <c r="Q54" s="138">
        <f t="shared" si="120"/>
        <v>1.2870012870012139E-3</v>
      </c>
      <c r="R54" s="353">
        <f t="shared" si="120"/>
        <v>-0.23860938633817091</v>
      </c>
      <c r="S54" s="354">
        <f t="shared" si="120"/>
        <v>-0.13168076550759894</v>
      </c>
      <c r="T54" s="139" t="s">
        <v>61</v>
      </c>
      <c r="U54" s="138" t="s">
        <v>61</v>
      </c>
      <c r="V54" s="138"/>
      <c r="W54" s="138" t="s">
        <v>61</v>
      </c>
      <c r="X54" s="353">
        <f>IF(X53*M53&lt;=0,"n/a",IF((X53-M53)/M53&gt;100%,"&gt;100%",(X53-M53)/M53))</f>
        <v>-0.22336761782949488</v>
      </c>
      <c r="Y54" s="354">
        <f>IF(Y53*N53&lt;=0,"n/a",IF((Y53-N53)/N53&gt;100%,"&gt;100%",(Y53-N53)/N53))</f>
        <v>-0.12323199524367749</v>
      </c>
      <c r="Z54" s="139">
        <f>IF(Z53*T53&lt;=0,"n/a",IF((Z53-T53)/T53&gt;100%,"&gt;100%",(Z53-T53)/T53))</f>
        <v>-0.16978591686270916</v>
      </c>
      <c r="AA54" s="138">
        <f>IF(OR(((AA53-U53)/U53)&gt;=100%,((AA53-U53)/U53)&lt;=-100%),"&gt;100%",((AA53-U53)/ABS(U53)))</f>
        <v>2.8129952456400742E-3</v>
      </c>
      <c r="AB54" s="138">
        <f>IF(OR(((AB53-V53)/V53)&gt;=100%,((AB53-V53)/V53)&lt;=-100%),"&gt;100%",((AB53-V53)/ABS(V53)))</f>
        <v>3.3646358852586718E-2</v>
      </c>
      <c r="AC54" s="138">
        <f t="shared" ref="AC54:AI54" si="121">IF(AC53*W53&lt;=0,"n/a",IF((AC53-W53)/W53&gt;100%,"&gt;100%",(AC53-W53)/W53))</f>
        <v>-5.1256771319313651E-2</v>
      </c>
      <c r="AD54" s="353">
        <f t="shared" si="121"/>
        <v>0.53925549611619983</v>
      </c>
      <c r="AE54" s="354">
        <f t="shared" si="121"/>
        <v>2.6689801803703599E-2</v>
      </c>
      <c r="AF54" s="139" t="str">
        <f t="shared" si="121"/>
        <v>&gt;100%</v>
      </c>
      <c r="AG54" s="138">
        <f t="shared" si="121"/>
        <v>6.3487292007432139E-2</v>
      </c>
      <c r="AH54" s="138">
        <f t="shared" si="121"/>
        <v>-0.10729613733905306</v>
      </c>
      <c r="AI54" s="138">
        <f t="shared" si="121"/>
        <v>5.0632911391994327E-4</v>
      </c>
      <c r="AJ54" s="353">
        <f>IF(OR(((AJ53-AD53)/AD53)&gt;=100%,((AJ53-AD53)/AD53)&lt;=-100%),"&gt;100%",((AJ53-AD53)/ABS(AD53)))</f>
        <v>-0.11393520997254081</v>
      </c>
      <c r="AK54" s="354">
        <f>IF(OR(((AK53-AE53)/AE53)&gt;=100%,((AK53-AE53)/AE53)&lt;=-100%),"&gt;100%",((AK53-AE53)/ABS(AE53)))</f>
        <v>-5.3594407989342563E-2</v>
      </c>
      <c r="AL54" s="139">
        <f>IF(AL53*AH53&lt;=0,"n/a",IF((AL53-AH53)/AH53&gt;100%,"&gt;100%",(AL53-AH53)/AH53))</f>
        <v>0.43421052631579077</v>
      </c>
      <c r="AM54" s="354">
        <f>IF(AM53*AK53&lt;=0,"n/a",IF((AM53-AK53)/AK53&gt;100%,"&gt;100%",(AM53-AK53)/AK53))</f>
        <v>0.1330209084354749</v>
      </c>
      <c r="AN54" s="139">
        <f t="shared" ref="AN54:AW54" si="122">AN53/AL53-1</f>
        <v>6.1397318278051394E-2</v>
      </c>
      <c r="AO54" s="354">
        <f t="shared" si="122"/>
        <v>0.12026726057906445</v>
      </c>
      <c r="AP54" s="139">
        <f t="shared" si="122"/>
        <v>0.3936170212765957</v>
      </c>
      <c r="AQ54" s="354">
        <f t="shared" si="122"/>
        <v>0.27719397898324338</v>
      </c>
      <c r="AR54" s="139">
        <f t="shared" si="122"/>
        <v>5.7729007633587681E-2</v>
      </c>
      <c r="AS54" s="354">
        <f t="shared" si="122"/>
        <v>6.8267734044918704E-2</v>
      </c>
      <c r="AT54" s="139">
        <f t="shared" si="122"/>
        <v>4.9616599007669127E-3</v>
      </c>
      <c r="AU54" s="354">
        <f t="shared" si="122"/>
        <v>8.7010824313072499E-2</v>
      </c>
      <c r="AV54" s="398">
        <f t="shared" si="122"/>
        <v>-0.42100538599640935</v>
      </c>
      <c r="AW54" s="354">
        <f t="shared" si="122"/>
        <v>-0.17387973956338576</v>
      </c>
      <c r="AX54" s="398">
        <f t="shared" ref="AX54" si="123">AX53/AV53-1</f>
        <v>0.82635658914728682</v>
      </c>
      <c r="AY54" s="354">
        <f t="shared" ref="AY54" si="124">AY53/AW53-1</f>
        <v>0.34005563282336593</v>
      </c>
      <c r="AZ54" s="398">
        <v>0.34507640067911716</v>
      </c>
      <c r="BA54" s="354">
        <v>8.0954852101712493E-2</v>
      </c>
      <c r="BB54" s="398">
        <v>0.22700000000000001</v>
      </c>
      <c r="BC54" s="354">
        <v>0.223</v>
      </c>
      <c r="BD54" s="354">
        <v>-2.1999999999999999E-2</v>
      </c>
      <c r="BE54" s="354"/>
      <c r="BF54" s="53"/>
      <c r="BG54" s="473"/>
    </row>
    <row r="55" spans="1:59" s="53" customFormat="1">
      <c r="A55" s="92" t="s">
        <v>86</v>
      </c>
      <c r="B55" s="169"/>
      <c r="C55" s="169">
        <v>364.3</v>
      </c>
      <c r="D55" s="170">
        <v>363.7</v>
      </c>
      <c r="E55" s="170">
        <v>362.6</v>
      </c>
      <c r="F55" s="171">
        <v>362.6</v>
      </c>
      <c r="G55" s="170">
        <v>363.3</v>
      </c>
      <c r="H55" s="196">
        <v>362.8</v>
      </c>
      <c r="I55" s="172">
        <v>363.1</v>
      </c>
      <c r="J55" s="172">
        <v>363.1</v>
      </c>
      <c r="K55" s="173">
        <v>363.1</v>
      </c>
      <c r="L55" s="173">
        <v>363</v>
      </c>
      <c r="M55" s="172">
        <v>363.2</v>
      </c>
      <c r="N55" s="179">
        <v>363</v>
      </c>
      <c r="O55" s="196">
        <v>363.1</v>
      </c>
      <c r="P55" s="172">
        <v>363.1</v>
      </c>
      <c r="Q55" s="172">
        <v>363.1</v>
      </c>
      <c r="R55" s="172">
        <f>X55</f>
        <v>363.1</v>
      </c>
      <c r="S55" s="179">
        <f>Y55</f>
        <v>363.87</v>
      </c>
      <c r="T55" s="196">
        <v>363.11246566666665</v>
      </c>
      <c r="U55" s="172">
        <v>363.11720700000001</v>
      </c>
      <c r="V55" s="172">
        <f>U55</f>
        <v>363.11720700000001</v>
      </c>
      <c r="W55" s="172">
        <v>363.1</v>
      </c>
      <c r="X55" s="172">
        <v>363.1</v>
      </c>
      <c r="Y55" s="179">
        <v>363.87</v>
      </c>
      <c r="Z55" s="196">
        <v>363.1</v>
      </c>
      <c r="AA55" s="172">
        <v>363.2</v>
      </c>
      <c r="AB55" s="172">
        <f>AA55</f>
        <v>363.2</v>
      </c>
      <c r="AC55" s="172">
        <v>363.6</v>
      </c>
      <c r="AD55" s="172">
        <v>364.2</v>
      </c>
      <c r="AE55" s="179">
        <v>363.55</v>
      </c>
      <c r="AF55" s="196">
        <v>364.3</v>
      </c>
      <c r="AG55" s="172">
        <v>364.3</v>
      </c>
      <c r="AH55" s="172">
        <f>AG55</f>
        <v>364.3</v>
      </c>
      <c r="AI55" s="172">
        <v>364.3</v>
      </c>
      <c r="AJ55" s="172">
        <v>364.4</v>
      </c>
      <c r="AK55" s="179">
        <v>364.3</v>
      </c>
      <c r="AL55" s="196">
        <v>364.4</v>
      </c>
      <c r="AM55" s="179">
        <v>363.7</v>
      </c>
      <c r="AN55" s="196">
        <v>361.6</v>
      </c>
      <c r="AO55" s="179">
        <v>362.11796800000002</v>
      </c>
      <c r="AP55" s="196">
        <v>363.9</v>
      </c>
      <c r="AQ55" s="179">
        <v>364.7</v>
      </c>
      <c r="AR55" s="196">
        <v>367.7</v>
      </c>
      <c r="AS55" s="179">
        <f>371.8-3.9</f>
        <v>367.90000000000003</v>
      </c>
      <c r="AT55" s="196">
        <v>364.3</v>
      </c>
      <c r="AU55" s="179">
        <v>363.7</v>
      </c>
      <c r="AV55" s="397">
        <v>363.8</v>
      </c>
      <c r="AW55" s="179">
        <v>364</v>
      </c>
      <c r="AX55" s="397">
        <v>364.5</v>
      </c>
      <c r="AY55" s="179">
        <v>365</v>
      </c>
      <c r="AZ55" s="397">
        <v>366.2</v>
      </c>
      <c r="BA55" s="179">
        <v>366.4</v>
      </c>
      <c r="BB55" s="397">
        <v>367.5</v>
      </c>
      <c r="BC55" s="179">
        <v>367.8</v>
      </c>
      <c r="BD55" s="179">
        <v>365.8</v>
      </c>
      <c r="BE55" s="179"/>
      <c r="BG55" s="473"/>
    </row>
    <row r="56" spans="1:59" s="53" customFormat="1">
      <c r="A56" s="92" t="s">
        <v>94</v>
      </c>
      <c r="B56" s="186">
        <v>1.0900000000000001</v>
      </c>
      <c r="C56" s="186">
        <v>7.0000000000000007E-2</v>
      </c>
      <c r="D56" s="187">
        <v>0.47</v>
      </c>
      <c r="E56" s="187">
        <v>0.56999999999999995</v>
      </c>
      <c r="F56" s="188">
        <v>0.06</v>
      </c>
      <c r="G56" s="187">
        <f>SUM(C56:F56)</f>
        <v>1.17</v>
      </c>
      <c r="H56" s="198" t="s">
        <v>61</v>
      </c>
      <c r="I56" s="187">
        <v>0.39</v>
      </c>
      <c r="J56" s="187">
        <v>0.41</v>
      </c>
      <c r="K56" s="188">
        <f>K51/K55</f>
        <v>-3.2497934453317841E-2</v>
      </c>
      <c r="L56" s="188">
        <f>SUM(H56:K56)</f>
        <v>0.76750206554668221</v>
      </c>
      <c r="M56" s="187" t="s">
        <v>61</v>
      </c>
      <c r="N56" s="189">
        <f>N51/N55</f>
        <v>0.72837465564738457</v>
      </c>
      <c r="O56" s="198" t="s">
        <v>61</v>
      </c>
      <c r="P56" s="187">
        <f>P51/P55</f>
        <v>0.32938584412007693</v>
      </c>
      <c r="Q56" s="187">
        <f>Q51/Q55</f>
        <v>0.40347011842467606</v>
      </c>
      <c r="R56" s="187">
        <f>R51/R55</f>
        <v>-0.12586064445056575</v>
      </c>
      <c r="S56" s="189">
        <f>S51/S55</f>
        <v>0.52766097782174926</v>
      </c>
      <c r="T56" s="198">
        <f t="shared" ref="T56:AB56" si="125">T51/T55</f>
        <v>-7.9589666377716112E-2</v>
      </c>
      <c r="U56" s="187">
        <f t="shared" si="125"/>
        <v>0.32358697890072607</v>
      </c>
      <c r="V56" s="187">
        <f t="shared" si="125"/>
        <v>0.24399835174982412</v>
      </c>
      <c r="W56" s="187">
        <f t="shared" si="125"/>
        <v>0.40649958689066157</v>
      </c>
      <c r="X56" s="187">
        <f t="shared" si="125"/>
        <v>-0.1261360506747452</v>
      </c>
      <c r="Y56" s="189">
        <f t="shared" si="125"/>
        <v>0.52326380300656539</v>
      </c>
      <c r="Z56" s="198">
        <f t="shared" si="125"/>
        <v>-6.7199118700082341E-2</v>
      </c>
      <c r="AA56" s="187">
        <f t="shared" si="125"/>
        <v>0.24779735682819243</v>
      </c>
      <c r="AB56" s="187">
        <f t="shared" si="125"/>
        <v>0.18061674008810463</v>
      </c>
      <c r="AC56" s="187">
        <f>ROUND(AC51/AC55,2)</f>
        <v>0.4</v>
      </c>
      <c r="AD56" s="187">
        <f>AD51/AD55</f>
        <v>2.3064250411861494E-2</v>
      </c>
      <c r="AE56" s="189">
        <f>AE51/AE55</f>
        <v>0.60844450557007235</v>
      </c>
      <c r="AF56" s="198">
        <f>AF51/AF55</f>
        <v>-0.10760362338731841</v>
      </c>
      <c r="AG56" s="187">
        <f>AG51/AG55</f>
        <v>0.36865220971726625</v>
      </c>
      <c r="AH56" s="187">
        <v>0.26100000000000001</v>
      </c>
      <c r="AI56" s="187">
        <f>ROUND(AI51/AI55,2)</f>
        <v>0.37</v>
      </c>
      <c r="AJ56" s="187">
        <f>AJ51/AJ55</f>
        <v>0.18249176728869398</v>
      </c>
      <c r="AK56" s="189">
        <f>AK51/AK55</f>
        <v>0.80922316771891223</v>
      </c>
      <c r="AL56" s="198">
        <v>0.34399999999999997</v>
      </c>
      <c r="AM56" s="189">
        <f>AM51/AM55</f>
        <v>0.77069012922738545</v>
      </c>
      <c r="AN56" s="198">
        <v>0.38700000000000001</v>
      </c>
      <c r="AO56" s="189">
        <v>0.94899999999999995</v>
      </c>
      <c r="AP56" s="198">
        <v>0.52600000000000002</v>
      </c>
      <c r="AQ56" s="189">
        <v>1.1679999999999999</v>
      </c>
      <c r="AR56" s="198">
        <v>0.59</v>
      </c>
      <c r="AS56" s="189">
        <v>1.216</v>
      </c>
      <c r="AT56" s="198">
        <v>0.53600000000000003</v>
      </c>
      <c r="AU56" s="189">
        <v>1.34</v>
      </c>
      <c r="AV56" s="400">
        <v>0.34100000000000003</v>
      </c>
      <c r="AW56" s="189">
        <v>1.1399999999999999</v>
      </c>
      <c r="AX56" s="400">
        <v>0.63900000000000001</v>
      </c>
      <c r="AY56" s="189">
        <v>1.4990000000000001</v>
      </c>
      <c r="AZ56" s="400">
        <v>0.41799999999999998</v>
      </c>
      <c r="BA56" s="189">
        <v>1.1339999999999999</v>
      </c>
      <c r="BB56" s="400">
        <v>1.05</v>
      </c>
      <c r="BC56" s="189">
        <v>1.73</v>
      </c>
      <c r="BD56" s="505">
        <v>1.0429999999999999</v>
      </c>
      <c r="BE56" s="364"/>
      <c r="BG56" s="473"/>
    </row>
    <row r="57" spans="1:59" s="54" customFormat="1" ht="17.149999999999999" customHeight="1">
      <c r="A57" s="351" t="s">
        <v>141</v>
      </c>
      <c r="B57" s="352">
        <v>0.75806451612903247</v>
      </c>
      <c r="C57" s="352" t="s">
        <v>83</v>
      </c>
      <c r="D57" s="138">
        <f>+D56/0.51-1</f>
        <v>-7.8431372549019662E-2</v>
      </c>
      <c r="E57" s="138">
        <v>0</v>
      </c>
      <c r="F57" s="353" t="s">
        <v>83</v>
      </c>
      <c r="G57" s="138">
        <f>G56/B56-1</f>
        <v>7.3394495412843819E-2</v>
      </c>
      <c r="H57" s="139" t="s">
        <v>61</v>
      </c>
      <c r="I57" s="138">
        <f>IF(I56*D56&lt;=0,"n/a",IF((I56-D56)/D56&gt;100%,"&gt;100%",(I56-D56)/D56))</f>
        <v>-0.17021276595744672</v>
      </c>
      <c r="J57" s="138">
        <f>IF(J56*E56&lt;=0,"n/a",IF((J56-E56)/E56&gt;100%,"&gt;100%",(J56-E56)/E56))</f>
        <v>-0.2807017543859649</v>
      </c>
      <c r="K57" s="353" t="str">
        <f>IF(K56*F56&lt;=0,"n/a",IF((K56-F56)/F56&gt;100%,"&gt;100%",(K56-F56)/F56))</f>
        <v>n/a</v>
      </c>
      <c r="L57" s="353">
        <f>IF(L56*G56&lt;=0,"n/a",IF((L56-G56)/G56&gt;100%,"&gt;100%",(L56-G56)/G56))</f>
        <v>-0.34401532859257927</v>
      </c>
      <c r="M57" s="353" t="s">
        <v>61</v>
      </c>
      <c r="N57" s="140">
        <f>IF(N56*G56&lt;=0,"n/a",IF((N56-G56)/G56&gt;100%,"&gt;100%",(N56-G56)/G56))</f>
        <v>-0.37745755927573965</v>
      </c>
      <c r="O57" s="139" t="s">
        <v>61</v>
      </c>
      <c r="P57" s="138">
        <f>IF(P56*I56&lt;=0,"n/a",IF((P56-I56)/I56&gt;100%,"&gt;100%",(P56-I56)/I56))</f>
        <v>-0.15542091251262327</v>
      </c>
      <c r="Q57" s="138">
        <f>IF(Q56*J56&lt;=0,"n/a",IF((Q56-J56)/J56&gt;100%,"&gt;100%",(Q56-J56)/J56))</f>
        <v>-1.5926540427619304E-2</v>
      </c>
      <c r="R57" s="353" t="str">
        <f>IF(R56*K56&lt;=0,"n/a",IF((R56-K56)/K56&gt;100%,"&gt;100%",(R56-K56)/K56))</f>
        <v>&gt;100%</v>
      </c>
      <c r="S57" s="354">
        <f>IF(S56*L56&lt;=0,"n/a",IF((S56-L56)/L56&gt;100%,"&gt;100%",(S56-L56)/L56))</f>
        <v>-0.31249569022866031</v>
      </c>
      <c r="T57" s="139" t="s">
        <v>61</v>
      </c>
      <c r="U57" s="138" t="s">
        <v>61</v>
      </c>
      <c r="V57" s="138"/>
      <c r="W57" s="138" t="s">
        <v>61</v>
      </c>
      <c r="X57" s="353" t="s">
        <v>61</v>
      </c>
      <c r="Y57" s="354">
        <f>IF(Y56*N56&lt;=0,"n/a",IF((Y56-N56)/N56&gt;100%,"&gt;100%",(Y56-N56)/N56))</f>
        <v>-0.2816007545711694</v>
      </c>
      <c r="Z57" s="139">
        <f>IF(Z56*T56&lt;=0,"n/a",IF((Z56-T56)/T56&gt;100%,"&gt;100%",(Z56-T56)/T56))</f>
        <v>-0.15568035703065761</v>
      </c>
      <c r="AA57" s="138">
        <f>AA56/U56-1</f>
        <v>-0.23421715648139629</v>
      </c>
      <c r="AB57" s="138">
        <f>AB56/V56-1</f>
        <v>-0.25976245825916799</v>
      </c>
      <c r="AC57" s="138">
        <f t="shared" ref="AC57:AI57" si="126">IF(AC56*W56&lt;=0,"n/a",IF((AC56-W56)/W56&gt;100%,"&gt;100%",(AC56-W56)/W56))</f>
        <v>-1.5989159891593632E-2</v>
      </c>
      <c r="AD57" s="353" t="str">
        <f t="shared" si="126"/>
        <v>n/a</v>
      </c>
      <c r="AE57" s="354">
        <f t="shared" si="126"/>
        <v>0.16278730169003913</v>
      </c>
      <c r="AF57" s="139">
        <f t="shared" si="126"/>
        <v>0.60126539557112613</v>
      </c>
      <c r="AG57" s="138">
        <f t="shared" si="126"/>
        <v>0.48771647299235404</v>
      </c>
      <c r="AH57" s="138">
        <f t="shared" si="126"/>
        <v>0.44504878048781371</v>
      </c>
      <c r="AI57" s="138">
        <f t="shared" si="126"/>
        <v>-7.5000000000000067E-2</v>
      </c>
      <c r="AJ57" s="353" t="str">
        <f>IF(OR(((AJ56-AD56)/AD56)&gt;=100%,((AJ56-AD56)/AD56)&lt;=-100%),"&gt;100%",((AJ56-AD56)/ABS(AD56)))</f>
        <v>&gt;100%</v>
      </c>
      <c r="AK57" s="354">
        <f>IF(OR(((AK56-AE56)/AE56)&gt;=100%,((AK56-AE56)/AE56)&lt;=-100%),"&gt;100%",((AK56-AE56)/ABS(AE56)))</f>
        <v>0.32998681114019351</v>
      </c>
      <c r="AL57" s="139">
        <f>IF(AL56*AH56&lt;=0,"n/a",IF((AL56-AH56)/AH56&gt;100%,"&gt;100%",(AL56-AH56)/AH56))</f>
        <v>0.31800766283524889</v>
      </c>
      <c r="AM57" s="354">
        <f>IF(AM56*AK56&lt;=0,"n/a",IF((AM56-AK56)/AK56&gt;100%,"&gt;100%",(AM56-AK56)/AK56))</f>
        <v>-4.7617319954081479E-2</v>
      </c>
      <c r="AN57" s="139">
        <f t="shared" ref="AN57:AW57" si="127">AN56/AL56-1</f>
        <v>0.12500000000000022</v>
      </c>
      <c r="AO57" s="354">
        <f t="shared" si="127"/>
        <v>0.23136389582590033</v>
      </c>
      <c r="AP57" s="139">
        <f t="shared" si="127"/>
        <v>0.35917312661498713</v>
      </c>
      <c r="AQ57" s="354">
        <f t="shared" si="127"/>
        <v>0.23076923076923084</v>
      </c>
      <c r="AR57" s="139">
        <f t="shared" si="127"/>
        <v>0.1216730038022813</v>
      </c>
      <c r="AS57" s="354">
        <f t="shared" si="127"/>
        <v>4.1095890410958846E-2</v>
      </c>
      <c r="AT57" s="139">
        <f t="shared" si="127"/>
        <v>-9.1525423728813449E-2</v>
      </c>
      <c r="AU57" s="354">
        <f t="shared" si="127"/>
        <v>0.10197368421052633</v>
      </c>
      <c r="AV57" s="398">
        <f t="shared" si="127"/>
        <v>-0.36380597014925375</v>
      </c>
      <c r="AW57" s="354">
        <f t="shared" si="127"/>
        <v>-0.14925373134328368</v>
      </c>
      <c r="AX57" s="398">
        <f t="shared" ref="AX57" si="128">AX56/AV56-1</f>
        <v>0.87390029325513185</v>
      </c>
      <c r="AY57" s="354">
        <f t="shared" ref="AY57" si="129">AY56/AW56-1</f>
        <v>0.31491228070175459</v>
      </c>
      <c r="AZ57" s="398">
        <v>-0.34585289514866979</v>
      </c>
      <c r="BA57" s="354">
        <v>-0.24349566377585075</v>
      </c>
      <c r="BB57" s="398" t="s">
        <v>83</v>
      </c>
      <c r="BC57" s="354">
        <v>0.52600000000000002</v>
      </c>
      <c r="BD57" s="506">
        <v>-7.0000000000000001E-3</v>
      </c>
      <c r="BE57" s="140"/>
      <c r="BF57" s="53"/>
      <c r="BG57" s="473"/>
    </row>
    <row r="58" spans="1:59" s="53" customFormat="1">
      <c r="A58" s="92" t="s">
        <v>106</v>
      </c>
      <c r="B58" s="186">
        <v>1.2</v>
      </c>
      <c r="C58" s="186">
        <v>0.08</v>
      </c>
      <c r="D58" s="187">
        <v>0.47</v>
      </c>
      <c r="E58" s="187">
        <v>0.6</v>
      </c>
      <c r="F58" s="188">
        <v>0.1</v>
      </c>
      <c r="G58" s="187">
        <f>SUM(C58:F58)</f>
        <v>1.25</v>
      </c>
      <c r="H58" s="198" t="s">
        <v>61</v>
      </c>
      <c r="I58" s="187">
        <v>0.4</v>
      </c>
      <c r="J58" s="187">
        <v>0.43</v>
      </c>
      <c r="K58" s="188">
        <f>K53/K55</f>
        <v>7.9549787463509408E-2</v>
      </c>
      <c r="L58" s="188">
        <f>SUM(H58:K58)</f>
        <v>0.90954978746350945</v>
      </c>
      <c r="M58" s="187">
        <v>0.08</v>
      </c>
      <c r="N58" s="189">
        <f>N53/N55</f>
        <v>0.89701270183306048</v>
      </c>
      <c r="O58" s="198" t="s">
        <v>61</v>
      </c>
      <c r="P58" s="187">
        <f>P53/P55</f>
        <v>0.35196915450289179</v>
      </c>
      <c r="Q58" s="187">
        <f>Q53/Q55</f>
        <v>0.42853208482511701</v>
      </c>
      <c r="R58" s="187">
        <f>R53/R55</f>
        <v>6.0568461493509508E-2</v>
      </c>
      <c r="S58" s="189">
        <f>S53/S55</f>
        <v>0.78817272203889654</v>
      </c>
      <c r="T58" s="198">
        <f t="shared" ref="T58:Z58" si="130">T53/T55</f>
        <v>-5.26767828691369E-2</v>
      </c>
      <c r="U58" s="187">
        <f t="shared" si="130"/>
        <v>0.3475461849980569</v>
      </c>
      <c r="V58" s="187">
        <f>V53/V55-0.01</f>
        <v>0.28487008994591601</v>
      </c>
      <c r="W58" s="187">
        <f>W53/W55+0.01</f>
        <v>0.43998511845496741</v>
      </c>
      <c r="X58" s="187">
        <f t="shared" si="130"/>
        <v>6.1386255489654352E-2</v>
      </c>
      <c r="Y58" s="189">
        <f t="shared" si="130"/>
        <v>0.78459161065295824</v>
      </c>
      <c r="Z58" s="198">
        <f t="shared" si="130"/>
        <v>-4.3734508399889412E-2</v>
      </c>
      <c r="AA58" s="187">
        <f>AA53/AA55-0.01</f>
        <v>0.3384443832599105</v>
      </c>
      <c r="AB58" s="187">
        <f>AB53/AB55-0.01</f>
        <v>0.29472191629955846</v>
      </c>
      <c r="AC58" s="187">
        <f>AC53/AC55</f>
        <v>0.40738448844884578</v>
      </c>
      <c r="AD58" s="187">
        <f>AD53/AD55</f>
        <v>9.4203743876990431E-2</v>
      </c>
      <c r="AE58" s="189">
        <f>AE53/AE55</f>
        <v>0.80624124197496883</v>
      </c>
      <c r="AF58" s="198">
        <f>AF53/AF55</f>
        <v>-9.8242202141092638E-2</v>
      </c>
      <c r="AG58" s="187">
        <f>AG53/AG55-0.01</f>
        <v>0.35944725292341484</v>
      </c>
      <c r="AH58" s="187">
        <v>0.27100000000000002</v>
      </c>
      <c r="AI58" s="187">
        <f>AI53/AI55</f>
        <v>0.40680757617348262</v>
      </c>
      <c r="AJ58" s="187">
        <f>AJ53/AJ55</f>
        <v>8.3424807903403078E-2</v>
      </c>
      <c r="AK58" s="189">
        <f>AK53/AK55</f>
        <v>0.76146033488882625</v>
      </c>
      <c r="AL58" s="198">
        <v>0.38900000000000001</v>
      </c>
      <c r="AM58" s="189">
        <f>AM53/AM55</f>
        <v>0.86417376959032188</v>
      </c>
      <c r="AN58" s="198">
        <v>0.41599999999999998</v>
      </c>
      <c r="AO58" s="189">
        <v>0.97199999999999998</v>
      </c>
      <c r="AP58" s="198">
        <v>0.57599999999999996</v>
      </c>
      <c r="AQ58" s="189">
        <v>1.2330000000000001</v>
      </c>
      <c r="AR58" s="198">
        <v>0.60299999999999998</v>
      </c>
      <c r="AS58" s="189">
        <v>1.306</v>
      </c>
      <c r="AT58" s="198">
        <v>0.61199999999999999</v>
      </c>
      <c r="AU58" s="189">
        <v>1.4359999999999999</v>
      </c>
      <c r="AV58" s="400">
        <v>0.35499999999999998</v>
      </c>
      <c r="AW58" s="189">
        <v>1.1850000000000001</v>
      </c>
      <c r="AX58" s="400">
        <v>0.64600000000000002</v>
      </c>
      <c r="AY58" s="189">
        <v>1.5840000000000001</v>
      </c>
      <c r="AZ58" s="400">
        <v>0.86537411250682683</v>
      </c>
      <c r="BA58" s="189">
        <v>1.7055131004366813</v>
      </c>
      <c r="BB58" s="400">
        <v>1.0580000000000001</v>
      </c>
      <c r="BC58" s="189">
        <v>2.0779999999999998</v>
      </c>
      <c r="BD58" s="505">
        <v>1.04</v>
      </c>
      <c r="BE58" s="364"/>
      <c r="BG58" s="473"/>
    </row>
    <row r="59" spans="1:59" s="54" customFormat="1" ht="14.5" thickBot="1">
      <c r="A59" s="355" t="s">
        <v>141</v>
      </c>
      <c r="B59" s="356">
        <v>3.4482758620689724E-2</v>
      </c>
      <c r="C59" s="356" t="s">
        <v>83</v>
      </c>
      <c r="D59" s="357">
        <f>+D58/0.53-1</f>
        <v>-0.11320754716981141</v>
      </c>
      <c r="E59" s="357">
        <v>3.4000000000000002E-2</v>
      </c>
      <c r="F59" s="358" t="s">
        <v>83</v>
      </c>
      <c r="G59" s="357">
        <f>G58/B58-1</f>
        <v>4.1666666666666741E-2</v>
      </c>
      <c r="H59" s="359" t="s">
        <v>61</v>
      </c>
      <c r="I59" s="357">
        <f>IF(I58*D58&lt;=0,"n/a",IF((I58-D58)/D58&gt;100%,"&gt;100%",(I58-D58)/D58))</f>
        <v>-0.14893617021276587</v>
      </c>
      <c r="J59" s="357">
        <f>IF(J58*E58&lt;=0,"n/a",IF((J58-E58)/E58&gt;100%,"&gt;100%",(J58-E58)/E58))</f>
        <v>-0.28333333333333333</v>
      </c>
      <c r="K59" s="358">
        <f>IF(K58*F58&lt;=0,"n/a",IF((K58-F58)/F58&gt;100%,"&gt;100%",(K58-F58)/F58))</f>
        <v>-0.20450212536490597</v>
      </c>
      <c r="L59" s="358">
        <f>IF(L58*G58&lt;=0,"n/a",IF((L58-G58)/G58&gt;100%,"&gt;100%",(L58-G58)/G58))</f>
        <v>-0.27236017002919244</v>
      </c>
      <c r="M59" s="358">
        <f>IF(M58*F58&lt;=0,"n/a",IF((M58-F58)/F58&gt;100%,"&gt;100%",(M58-F58)/F58))</f>
        <v>-0.20000000000000004</v>
      </c>
      <c r="N59" s="360">
        <f>IF(N58*G58&lt;=0,"n/a",IF((N58-G58)/G58&gt;100%,"&gt;100%",(N58-G58)/G58))</f>
        <v>-0.2823898385335516</v>
      </c>
      <c r="O59" s="359" t="s">
        <v>61</v>
      </c>
      <c r="P59" s="357">
        <f>IF(P58*I58&lt;=0,"n/a",IF((P58-I58)/I58&gt;100%,"&gt;100%",(P58-I58)/I58))</f>
        <v>-0.12007711374277058</v>
      </c>
      <c r="Q59" s="357">
        <f>IF(Q58*J58&lt;=0,"n/a",IF((Q58-J58)/J58&gt;100%,"&gt;100%",(Q58-J58)/J58))</f>
        <v>-3.4137562206581007E-3</v>
      </c>
      <c r="R59" s="358">
        <f>IF(R58*K58&lt;=0,"n/a",IF((R58-K58)/K58&gt;100%,"&gt;100%",(R58-K58)/K58))</f>
        <v>-0.23860938633817089</v>
      </c>
      <c r="S59" s="361">
        <f>IF(S58*L58&lt;=0,"n/a",IF((S58-L58)/L58&gt;100%,"&gt;100%",(S58-L58)/L58))</f>
        <v>-0.13344741222259093</v>
      </c>
      <c r="T59" s="359" t="s">
        <v>61</v>
      </c>
      <c r="U59" s="357" t="s">
        <v>61</v>
      </c>
      <c r="V59" s="357"/>
      <c r="W59" s="357" t="s">
        <v>61</v>
      </c>
      <c r="X59" s="358">
        <f>IF(X58*M58&lt;=0,"n/a",IF((X58-M58)/M58&gt;100%,"&gt;100%",(X58-M58)/M58))</f>
        <v>-0.23267180637932061</v>
      </c>
      <c r="Y59" s="361">
        <f>IF(Y58*N58&lt;=0,"n/a",IF((Y58-N58)/N58&gt;100%,"&gt;100%",(Y58-N58)/N58))</f>
        <v>-0.12532831580909373</v>
      </c>
      <c r="Z59" s="359">
        <f>IF(Z58*T58&lt;=0,"n/a",IF((Z58-T58)/T58&gt;100%,"&gt;100%",(Z58-T58)/T58))</f>
        <v>-0.16975741459880855</v>
      </c>
      <c r="AA59" s="357">
        <f>AA58/U58-1</f>
        <v>-2.6188754562785022E-2</v>
      </c>
      <c r="AB59" s="357">
        <f>AB58/V58-1</f>
        <v>3.4583575817007883E-2</v>
      </c>
      <c r="AC59" s="357">
        <f t="shared" ref="AC59:AI59" si="131">IF(AC58*W58&lt;=0,"n/a",IF((AC58-W58)/W58&gt;100%,"&gt;100%",(AC58-W58)/W58))</f>
        <v>-7.4094846936188605E-2</v>
      </c>
      <c r="AD59" s="358">
        <f t="shared" si="131"/>
        <v>0.53460645425533293</v>
      </c>
      <c r="AE59" s="361">
        <f t="shared" si="131"/>
        <v>2.7593503458433848E-2</v>
      </c>
      <c r="AF59" s="359" t="str">
        <f t="shared" si="131"/>
        <v>&gt;100%</v>
      </c>
      <c r="AG59" s="357">
        <f t="shared" si="131"/>
        <v>6.2057078510814156E-2</v>
      </c>
      <c r="AH59" s="357">
        <f t="shared" si="131"/>
        <v>-8.0489149220403539E-2</v>
      </c>
      <c r="AI59" s="357">
        <f t="shared" si="131"/>
        <v>-1.4161370688408109E-3</v>
      </c>
      <c r="AJ59" s="358">
        <f>IF(OR(((AJ58-AD58)/AD58)&gt;=100%,((AJ58-AD58)/AD58)&lt;=-100%),"&gt;100%",((AJ58-AD58)/ABS(AD58)))</f>
        <v>-0.11442152434686986</v>
      </c>
      <c r="AK59" s="361">
        <f>IF(OR(((AK58-AE58)/AE58)&gt;=100%,((AK58-AE58)/AE58)&lt;=-100%),"&gt;100%",((AK58-AE58)/ABS(AE58)))</f>
        <v>-5.5542813682474552E-2</v>
      </c>
      <c r="AL59" s="359">
        <f>IF(AL58*AH58&lt;=0,"n/a",IF((AL58-AH58)/AH58&gt;100%,"&gt;100%",(AL58-AH58)/AH58))</f>
        <v>0.43542435424354237</v>
      </c>
      <c r="AM59" s="361" t="str">
        <f>IF(OR(((AM58-AI58)/AI58)&gt;=100%,((AM58-AI58)/AI58)&lt;=-100%),"&gt;100%",((AM58-AI58)/ABS(AI58)))</f>
        <v>&gt;100%</v>
      </c>
      <c r="AN59" s="359">
        <f t="shared" ref="AN59:AW59" si="132">AN58/AL58-1</f>
        <v>6.9408740359897081E-2</v>
      </c>
      <c r="AO59" s="361">
        <f t="shared" si="132"/>
        <v>0.12477378300986297</v>
      </c>
      <c r="AP59" s="359">
        <f t="shared" si="132"/>
        <v>0.38461538461538458</v>
      </c>
      <c r="AQ59" s="361">
        <f t="shared" si="132"/>
        <v>0.2685185185185186</v>
      </c>
      <c r="AR59" s="359">
        <f t="shared" si="132"/>
        <v>4.6875E-2</v>
      </c>
      <c r="AS59" s="361">
        <f t="shared" si="132"/>
        <v>5.9205190592051871E-2</v>
      </c>
      <c r="AT59" s="359">
        <f t="shared" si="132"/>
        <v>1.4925373134328401E-2</v>
      </c>
      <c r="AU59" s="361">
        <f t="shared" si="132"/>
        <v>9.9540581929555838E-2</v>
      </c>
      <c r="AV59" s="401">
        <f t="shared" si="132"/>
        <v>-0.41993464052287588</v>
      </c>
      <c r="AW59" s="361">
        <f t="shared" si="132"/>
        <v>-0.17479108635097484</v>
      </c>
      <c r="AX59" s="401">
        <f t="shared" ref="AX59" si="133">AX58/AV58-1</f>
        <v>0.81971830985915517</v>
      </c>
      <c r="AY59" s="361">
        <f t="shared" ref="AY59" si="134">AY58/AW58-1</f>
        <v>0.33670886075949369</v>
      </c>
      <c r="AZ59" s="401">
        <v>0.33958840945329216</v>
      </c>
      <c r="BA59" s="361">
        <v>7.6712815932248324E-2</v>
      </c>
      <c r="BB59" s="401">
        <v>0.223</v>
      </c>
      <c r="BC59" s="361">
        <v>0.218</v>
      </c>
      <c r="BD59" s="361">
        <v>-1.7000000000000001E-2</v>
      </c>
      <c r="BE59" s="361"/>
      <c r="BF59" s="53"/>
      <c r="BG59" s="473"/>
    </row>
    <row r="60" spans="1:59">
      <c r="B60" s="204"/>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4"/>
      <c r="AP60" s="204"/>
      <c r="AQ60" s="204"/>
      <c r="AR60" s="204"/>
      <c r="AS60" s="204"/>
      <c r="AT60" s="204"/>
      <c r="AU60" s="204"/>
      <c r="AV60" s="204"/>
      <c r="AW60" s="204"/>
      <c r="AX60" s="204"/>
      <c r="AY60" s="204"/>
      <c r="BF60" s="53"/>
    </row>
    <row r="61" spans="1:59" ht="14.5" thickBot="1">
      <c r="B61" s="204"/>
      <c r="C61" s="204"/>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6"/>
      <c r="AN61" s="204"/>
      <c r="AO61" s="6"/>
      <c r="AP61" s="204"/>
      <c r="AQ61" s="6"/>
      <c r="AR61" s="204"/>
      <c r="AS61" s="6"/>
      <c r="AT61" s="204"/>
      <c r="AU61" s="6"/>
      <c r="AV61" s="204"/>
      <c r="AW61" s="6"/>
      <c r="AX61" s="204"/>
      <c r="AY61" s="6"/>
      <c r="BF61" s="53"/>
    </row>
    <row r="62" spans="1:59" s="200" customFormat="1" ht="20">
      <c r="A62" s="174" t="s">
        <v>43</v>
      </c>
      <c r="B62" s="210">
        <v>2009</v>
      </c>
      <c r="C62" s="194">
        <v>2010</v>
      </c>
      <c r="D62" s="177"/>
      <c r="E62" s="177"/>
      <c r="F62" s="177"/>
      <c r="G62" s="178"/>
      <c r="H62" s="194">
        <v>2011</v>
      </c>
      <c r="I62" s="177"/>
      <c r="J62" s="177"/>
      <c r="K62" s="177"/>
      <c r="L62" s="177"/>
      <c r="M62" s="177"/>
      <c r="N62" s="178"/>
      <c r="O62" s="194">
        <v>2012</v>
      </c>
      <c r="P62" s="177"/>
      <c r="Q62" s="177"/>
      <c r="R62" s="177"/>
      <c r="S62" s="178"/>
      <c r="T62" s="194" t="str">
        <f>$T$4</f>
        <v>2012*</v>
      </c>
      <c r="U62" s="177"/>
      <c r="V62" s="177"/>
      <c r="W62" s="177"/>
      <c r="X62" s="177"/>
      <c r="Y62" s="178"/>
      <c r="Z62" s="194" t="s">
        <v>68</v>
      </c>
      <c r="AA62" s="177"/>
      <c r="AB62" s="177"/>
      <c r="AC62" s="177"/>
      <c r="AD62" s="177"/>
      <c r="AE62" s="178"/>
      <c r="AF62" s="194">
        <f>AF4</f>
        <v>2014</v>
      </c>
      <c r="AG62" s="177"/>
      <c r="AH62" s="177"/>
      <c r="AI62" s="177"/>
      <c r="AJ62" s="177"/>
      <c r="AK62" s="178"/>
      <c r="AL62" s="194">
        <v>2015</v>
      </c>
      <c r="AM62" s="178"/>
      <c r="AN62" s="194">
        <v>2016</v>
      </c>
      <c r="AO62" s="178"/>
      <c r="AP62" s="194">
        <v>2017</v>
      </c>
      <c r="AQ62" s="178"/>
      <c r="AR62" s="194">
        <v>2018</v>
      </c>
      <c r="AS62" s="178"/>
      <c r="AT62" s="194">
        <v>2019</v>
      </c>
      <c r="AU62" s="178"/>
      <c r="AV62" s="194">
        <v>2020</v>
      </c>
      <c r="AW62" s="178"/>
      <c r="AX62" s="194">
        <v>2021</v>
      </c>
      <c r="AY62" s="178"/>
      <c r="AZ62" s="194">
        <v>2022</v>
      </c>
      <c r="BA62" s="178"/>
      <c r="BB62" s="194">
        <v>2023</v>
      </c>
      <c r="BC62" s="178"/>
      <c r="BD62" s="194">
        <v>2024</v>
      </c>
      <c r="BE62" s="194"/>
      <c r="BF62" s="53"/>
    </row>
    <row r="63" spans="1:59" s="201" customFormat="1" ht="18.75" customHeight="1" thickBot="1">
      <c r="A63" s="181" t="s">
        <v>161</v>
      </c>
      <c r="B63" s="211" t="s">
        <v>69</v>
      </c>
      <c r="C63" s="212" t="s">
        <v>70</v>
      </c>
      <c r="D63" s="205" t="s">
        <v>71</v>
      </c>
      <c r="E63" s="205" t="s">
        <v>72</v>
      </c>
      <c r="F63" s="205" t="s">
        <v>73</v>
      </c>
      <c r="G63" s="207" t="s">
        <v>74</v>
      </c>
      <c r="H63" s="206" t="s">
        <v>70</v>
      </c>
      <c r="I63" s="205" t="s">
        <v>71</v>
      </c>
      <c r="J63" s="205" t="s">
        <v>72</v>
      </c>
      <c r="K63" s="205" t="s">
        <v>73</v>
      </c>
      <c r="L63" s="207" t="s">
        <v>75</v>
      </c>
      <c r="M63" s="205" t="s">
        <v>76</v>
      </c>
      <c r="N63" s="207" t="s">
        <v>77</v>
      </c>
      <c r="O63" s="206" t="s">
        <v>70</v>
      </c>
      <c r="P63" s="205" t="s">
        <v>71</v>
      </c>
      <c r="Q63" s="205" t="s">
        <v>72</v>
      </c>
      <c r="R63" s="205" t="s">
        <v>73</v>
      </c>
      <c r="S63" s="207" t="s">
        <v>78</v>
      </c>
      <c r="T63" s="206" t="s">
        <v>79</v>
      </c>
      <c r="U63" s="205" t="s">
        <v>80</v>
      </c>
      <c r="V63" s="205" t="s">
        <v>112</v>
      </c>
      <c r="W63" s="205" t="s">
        <v>81</v>
      </c>
      <c r="X63" s="205" t="s">
        <v>76</v>
      </c>
      <c r="Y63" s="207" t="s">
        <v>82</v>
      </c>
      <c r="Z63" s="206" t="s">
        <v>79</v>
      </c>
      <c r="AA63" s="205" t="s">
        <v>80</v>
      </c>
      <c r="AB63" s="205" t="s">
        <v>112</v>
      </c>
      <c r="AC63" s="205" t="s">
        <v>81</v>
      </c>
      <c r="AD63" s="205" t="s">
        <v>76</v>
      </c>
      <c r="AE63" s="207" t="s">
        <v>108</v>
      </c>
      <c r="AF63" s="206" t="s">
        <v>70</v>
      </c>
      <c r="AG63" s="205" t="s">
        <v>71</v>
      </c>
      <c r="AH63" s="205" t="s">
        <v>111</v>
      </c>
      <c r="AI63" s="205" t="s">
        <v>72</v>
      </c>
      <c r="AJ63" s="205" t="s">
        <v>73</v>
      </c>
      <c r="AK63" s="207" t="s">
        <v>123</v>
      </c>
      <c r="AL63" s="208" t="s">
        <v>111</v>
      </c>
      <c r="AM63" s="215" t="s">
        <v>120</v>
      </c>
      <c r="AN63" s="208" t="s">
        <v>111</v>
      </c>
      <c r="AO63" s="215" t="s">
        <v>120</v>
      </c>
      <c r="AP63" s="208" t="s">
        <v>111</v>
      </c>
      <c r="AQ63" s="215" t="s">
        <v>120</v>
      </c>
      <c r="AR63" s="208" t="s">
        <v>111</v>
      </c>
      <c r="AS63" s="215" t="s">
        <v>120</v>
      </c>
      <c r="AT63" s="208" t="s">
        <v>111</v>
      </c>
      <c r="AU63" s="215" t="s">
        <v>120</v>
      </c>
      <c r="AV63" s="208" t="s">
        <v>111</v>
      </c>
      <c r="AW63" s="215" t="s">
        <v>120</v>
      </c>
      <c r="AX63" s="208" t="s">
        <v>111</v>
      </c>
      <c r="AY63" s="215" t="s">
        <v>120</v>
      </c>
      <c r="AZ63" s="208" t="s">
        <v>111</v>
      </c>
      <c r="BA63" s="215" t="s">
        <v>120</v>
      </c>
      <c r="BB63" s="208" t="s">
        <v>111</v>
      </c>
      <c r="BC63" s="101" t="s">
        <v>120</v>
      </c>
      <c r="BD63" s="212" t="s">
        <v>111</v>
      </c>
      <c r="BE63" s="508" t="s">
        <v>120</v>
      </c>
      <c r="BF63" s="53"/>
    </row>
    <row r="64" spans="1:59" s="53" customFormat="1">
      <c r="A64" s="226" t="s">
        <v>44</v>
      </c>
      <c r="B64" s="247">
        <v>5048.3</v>
      </c>
      <c r="C64" s="248">
        <v>5177.1000000000004</v>
      </c>
      <c r="D64" s="249">
        <v>5267</v>
      </c>
      <c r="E64" s="249">
        <v>5193.7</v>
      </c>
      <c r="F64" s="249">
        <v>5281.2</v>
      </c>
      <c r="G64" s="250">
        <f>F64</f>
        <v>5281.2</v>
      </c>
      <c r="H64" s="251">
        <v>5212.6000000000004</v>
      </c>
      <c r="I64" s="249">
        <v>5265.6</v>
      </c>
      <c r="J64" s="249">
        <v>5174.3999999999996</v>
      </c>
      <c r="K64" s="249">
        <v>5207.3999999999996</v>
      </c>
      <c r="L64" s="250">
        <f>K64</f>
        <v>5207.3999999999996</v>
      </c>
      <c r="M64" s="249">
        <v>5228.3999999999996</v>
      </c>
      <c r="N64" s="250">
        <f>M64</f>
        <v>5228.3999999999996</v>
      </c>
      <c r="O64" s="251">
        <v>5263</v>
      </c>
      <c r="P64" s="249">
        <v>5269.6</v>
      </c>
      <c r="Q64" s="249">
        <v>5284.5</v>
      </c>
      <c r="R64" s="249">
        <v>5212.5</v>
      </c>
      <c r="S64" s="250">
        <f>R64</f>
        <v>5212.5</v>
      </c>
      <c r="T64" s="251">
        <v>5305</v>
      </c>
      <c r="U64" s="249">
        <v>5333.5</v>
      </c>
      <c r="V64" s="249">
        <f>U64</f>
        <v>5333.5</v>
      </c>
      <c r="W64" s="249">
        <v>5353.7</v>
      </c>
      <c r="X64" s="249">
        <v>5279.3</v>
      </c>
      <c r="Y64" s="250">
        <f>X64</f>
        <v>5279.3</v>
      </c>
      <c r="Z64" s="251">
        <v>5282.5</v>
      </c>
      <c r="AA64" s="249">
        <v>5201.6000000000004</v>
      </c>
      <c r="AB64" s="249">
        <f>AA64</f>
        <v>5201.6000000000004</v>
      </c>
      <c r="AC64" s="249">
        <v>5143.6000000000004</v>
      </c>
      <c r="AD64" s="249">
        <v>5123.2</v>
      </c>
      <c r="AE64" s="250">
        <f>AD64</f>
        <v>5123.2</v>
      </c>
      <c r="AF64" s="251">
        <v>4978.0999999999995</v>
      </c>
      <c r="AG64" s="249">
        <v>5053.8</v>
      </c>
      <c r="AH64" s="249">
        <f>AG64</f>
        <v>5053.8</v>
      </c>
      <c r="AI64" s="249">
        <v>5025.3999999999996</v>
      </c>
      <c r="AJ64" s="249">
        <v>4816.8999999999996</v>
      </c>
      <c r="AK64" s="250">
        <f>AJ64</f>
        <v>4816.8999999999996</v>
      </c>
      <c r="AL64" s="252">
        <v>4817.3999999999996</v>
      </c>
      <c r="AM64" s="253">
        <v>4665.2</v>
      </c>
      <c r="AN64" s="252">
        <v>4466.3999999999996</v>
      </c>
      <c r="AO64" s="253">
        <v>4503.6000000000004</v>
      </c>
      <c r="AP64" s="252">
        <v>4373.8</v>
      </c>
      <c r="AQ64" s="253">
        <v>4344.6000000000004</v>
      </c>
      <c r="AR64" s="252">
        <v>4396.8999999999996</v>
      </c>
      <c r="AS64" s="253">
        <v>4416.1000000000004</v>
      </c>
      <c r="AT64" s="252">
        <v>4955.3</v>
      </c>
      <c r="AU64" s="253">
        <v>5137.7</v>
      </c>
      <c r="AV64" s="252">
        <v>5120.3999999999996</v>
      </c>
      <c r="AW64" s="253">
        <v>5046</v>
      </c>
      <c r="AX64" s="252">
        <v>5129.3999999999996</v>
      </c>
      <c r="AY64" s="253">
        <v>5357.4</v>
      </c>
      <c r="AZ64" s="252">
        <v>6306.9</v>
      </c>
      <c r="BA64" s="252">
        <v>6139.5</v>
      </c>
      <c r="BB64" s="251">
        <v>5785.8</v>
      </c>
      <c r="BC64" s="503">
        <v>5970.6</v>
      </c>
      <c r="BD64" s="251">
        <v>5811.1</v>
      </c>
      <c r="BE64" s="509"/>
    </row>
    <row r="65" spans="1:58">
      <c r="A65" s="227" t="s">
        <v>45</v>
      </c>
      <c r="B65" s="254">
        <v>425.1</v>
      </c>
      <c r="C65" s="255">
        <v>516.20000000000005</v>
      </c>
      <c r="D65" s="256">
        <v>614.6</v>
      </c>
      <c r="E65" s="256">
        <v>521.6</v>
      </c>
      <c r="F65" s="256">
        <v>481.7</v>
      </c>
      <c r="G65" s="257">
        <v>481.7</v>
      </c>
      <c r="H65" s="255">
        <v>562.5</v>
      </c>
      <c r="I65" s="256">
        <v>641.29999999999995</v>
      </c>
      <c r="J65" s="256">
        <v>480.9</v>
      </c>
      <c r="K65" s="256">
        <v>451.5</v>
      </c>
      <c r="L65" s="257">
        <v>451.5</v>
      </c>
      <c r="M65" s="256">
        <v>447.7</v>
      </c>
      <c r="N65" s="257">
        <v>447.7</v>
      </c>
      <c r="O65" s="255">
        <v>544.29999999999995</v>
      </c>
      <c r="P65" s="256">
        <v>619</v>
      </c>
      <c r="Q65" s="256">
        <v>528.4</v>
      </c>
      <c r="R65" s="258">
        <v>460.625</v>
      </c>
      <c r="S65" s="259">
        <v>460.625</v>
      </c>
      <c r="T65" s="255">
        <v>540</v>
      </c>
      <c r="U65" s="256">
        <v>613.5</v>
      </c>
      <c r="V65" s="256">
        <v>613.5</v>
      </c>
      <c r="W65" s="256">
        <v>524.19999999999993</v>
      </c>
      <c r="X65" s="258">
        <v>458</v>
      </c>
      <c r="Y65" s="259">
        <v>458</v>
      </c>
      <c r="Z65" s="255">
        <v>550.4</v>
      </c>
      <c r="AA65" s="256">
        <v>585.6</v>
      </c>
      <c r="AB65" s="256">
        <v>585.6</v>
      </c>
      <c r="AC65" s="256">
        <v>493.2</v>
      </c>
      <c r="AD65" s="258">
        <v>429</v>
      </c>
      <c r="AE65" s="259">
        <v>429</v>
      </c>
      <c r="AF65" s="255">
        <v>505.3</v>
      </c>
      <c r="AG65" s="256">
        <v>564.20000000000005</v>
      </c>
      <c r="AH65" s="256">
        <v>564.20000000000005</v>
      </c>
      <c r="AI65" s="256">
        <v>512.6</v>
      </c>
      <c r="AJ65" s="258">
        <v>414.2</v>
      </c>
      <c r="AK65" s="259">
        <v>414.2</v>
      </c>
      <c r="AL65" s="260">
        <v>538.29999999999995</v>
      </c>
      <c r="AM65" s="259">
        <v>435.8</v>
      </c>
      <c r="AN65" s="260">
        <v>488.3</v>
      </c>
      <c r="AO65" s="259">
        <v>431.5</v>
      </c>
      <c r="AP65" s="260">
        <v>527.20000000000005</v>
      </c>
      <c r="AQ65" s="259">
        <v>416.8</v>
      </c>
      <c r="AR65" s="260">
        <v>582.5</v>
      </c>
      <c r="AS65" s="259">
        <v>463.2</v>
      </c>
      <c r="AT65" s="260">
        <v>604.70000000000005</v>
      </c>
      <c r="AU65" s="259">
        <v>488.1</v>
      </c>
      <c r="AV65" s="260">
        <v>543</v>
      </c>
      <c r="AW65" s="259">
        <v>417.6</v>
      </c>
      <c r="AX65" s="260">
        <v>545.9</v>
      </c>
      <c r="AY65" s="259">
        <v>519.79999999999995</v>
      </c>
      <c r="AZ65" s="260">
        <v>835.2</v>
      </c>
      <c r="BA65" s="260">
        <v>770</v>
      </c>
      <c r="BB65" s="255">
        <v>953.4</v>
      </c>
      <c r="BC65" s="260">
        <v>773.3</v>
      </c>
      <c r="BD65" s="255">
        <v>1004.2</v>
      </c>
      <c r="BE65" s="254"/>
      <c r="BF65" s="53"/>
    </row>
    <row r="66" spans="1:58">
      <c r="A66" s="374" t="s">
        <v>165</v>
      </c>
      <c r="B66" s="254">
        <v>1091.4000000000001</v>
      </c>
      <c r="C66" s="255">
        <v>1111.5999999999999</v>
      </c>
      <c r="D66" s="256">
        <v>1328.3</v>
      </c>
      <c r="E66" s="256">
        <v>1115.8</v>
      </c>
      <c r="F66" s="256">
        <v>1121.7</v>
      </c>
      <c r="G66" s="257">
        <v>1121.7</v>
      </c>
      <c r="H66" s="255">
        <v>1162.0999999999999</v>
      </c>
      <c r="I66" s="256">
        <v>1408.7</v>
      </c>
      <c r="J66" s="256">
        <v>1241.3</v>
      </c>
      <c r="K66" s="256">
        <v>1122.4000000000001</v>
      </c>
      <c r="L66" s="257">
        <v>1122.4000000000001</v>
      </c>
      <c r="M66" s="256">
        <v>1120</v>
      </c>
      <c r="N66" s="257">
        <v>1120</v>
      </c>
      <c r="O66" s="255">
        <v>1088</v>
      </c>
      <c r="P66" s="256">
        <v>1269.5999999999999</v>
      </c>
      <c r="Q66" s="256">
        <v>1099.5</v>
      </c>
      <c r="R66" s="258">
        <v>1073.625</v>
      </c>
      <c r="S66" s="259">
        <v>1073.625</v>
      </c>
      <c r="T66" s="255">
        <v>1081.7</v>
      </c>
      <c r="U66" s="256">
        <v>1267</v>
      </c>
      <c r="V66" s="256">
        <v>1267</v>
      </c>
      <c r="W66" s="256">
        <v>1098.5999999999999</v>
      </c>
      <c r="X66" s="258">
        <v>1073.6999999999998</v>
      </c>
      <c r="Y66" s="259">
        <v>1073.6999999999998</v>
      </c>
      <c r="Z66" s="255">
        <v>1074</v>
      </c>
      <c r="AA66" s="256">
        <v>1195</v>
      </c>
      <c r="AB66" s="256">
        <v>1195</v>
      </c>
      <c r="AC66" s="256">
        <v>1037.8</v>
      </c>
      <c r="AD66" s="258">
        <v>985.09999999999991</v>
      </c>
      <c r="AE66" s="259">
        <v>985.09999999999991</v>
      </c>
      <c r="AF66" s="255">
        <v>977.2</v>
      </c>
      <c r="AG66" s="256">
        <v>1158.5999999999999</v>
      </c>
      <c r="AH66" s="256">
        <v>1158.5999999999999</v>
      </c>
      <c r="AI66" s="256">
        <v>1035.2</v>
      </c>
      <c r="AJ66" s="258">
        <v>1011.6</v>
      </c>
      <c r="AK66" s="259">
        <v>1011.6</v>
      </c>
      <c r="AL66" s="260">
        <v>1119.0999999999999</v>
      </c>
      <c r="AM66" s="259">
        <v>944.8</v>
      </c>
      <c r="AN66" s="260">
        <v>1090</v>
      </c>
      <c r="AO66" s="259">
        <v>1056.5999999999999</v>
      </c>
      <c r="AP66" s="260">
        <v>1179.5999999999999</v>
      </c>
      <c r="AQ66" s="259">
        <v>982.4</v>
      </c>
      <c r="AR66" s="260">
        <v>1237.5999999999999</v>
      </c>
      <c r="AS66" s="259">
        <f>969.7+3</f>
        <v>972.7</v>
      </c>
      <c r="AT66" s="260">
        <f>1322.2-0.3</f>
        <v>1321.9</v>
      </c>
      <c r="AU66" s="259">
        <v>1030.3</v>
      </c>
      <c r="AV66" s="260">
        <f>1005.3+1.1</f>
        <v>1006.4</v>
      </c>
      <c r="AW66" s="259">
        <v>787.1</v>
      </c>
      <c r="AX66" s="260">
        <f>1114.2+1.4</f>
        <v>1115.6000000000001</v>
      </c>
      <c r="AY66" s="259">
        <v>975.4</v>
      </c>
      <c r="AZ66" s="260">
        <v>1431.1999999999998</v>
      </c>
      <c r="BA66" s="260">
        <v>1162.5</v>
      </c>
      <c r="BB66" s="255">
        <v>1528.6</v>
      </c>
      <c r="BC66" s="260">
        <f>1205.1+3.3</f>
        <v>1208.3999999999999</v>
      </c>
      <c r="BD66" s="255">
        <f>1757.6+1.8</f>
        <v>1759.3999999999999</v>
      </c>
      <c r="BE66" s="254"/>
      <c r="BF66" s="53"/>
    </row>
    <row r="67" spans="1:58">
      <c r="A67" s="227" t="s">
        <v>132</v>
      </c>
      <c r="B67" s="254"/>
      <c r="C67" s="255"/>
      <c r="D67" s="256"/>
      <c r="E67" s="256"/>
      <c r="F67" s="256"/>
      <c r="G67" s="257"/>
      <c r="H67" s="255"/>
      <c r="I67" s="256"/>
      <c r="J67" s="256"/>
      <c r="K67" s="256"/>
      <c r="L67" s="257"/>
      <c r="M67" s="256"/>
      <c r="N67" s="257"/>
      <c r="O67" s="255"/>
      <c r="P67" s="256"/>
      <c r="Q67" s="256"/>
      <c r="R67" s="258"/>
      <c r="S67" s="259"/>
      <c r="T67" s="255"/>
      <c r="U67" s="256"/>
      <c r="V67" s="256"/>
      <c r="W67" s="256"/>
      <c r="X67" s="258"/>
      <c r="Y67" s="259"/>
      <c r="Z67" s="255"/>
      <c r="AA67" s="256"/>
      <c r="AB67" s="256"/>
      <c r="AC67" s="256"/>
      <c r="AD67" s="258"/>
      <c r="AE67" s="259"/>
      <c r="AF67" s="255"/>
      <c r="AG67" s="256"/>
      <c r="AH67" s="256"/>
      <c r="AI67" s="256"/>
      <c r="AJ67" s="258"/>
      <c r="AK67" s="259"/>
      <c r="AL67" s="260"/>
      <c r="AM67" s="259"/>
      <c r="AN67" s="260"/>
      <c r="AO67" s="259"/>
      <c r="AP67" s="260">
        <v>0</v>
      </c>
      <c r="AQ67" s="259">
        <f>150.9+12</f>
        <v>162.9</v>
      </c>
      <c r="AR67" s="260">
        <v>299.89999999999998</v>
      </c>
      <c r="AS67" s="259">
        <v>290</v>
      </c>
      <c r="AT67" s="260">
        <v>557.79999999999995</v>
      </c>
      <c r="AU67" s="259">
        <v>734.9</v>
      </c>
      <c r="AV67" s="260">
        <v>122.8</v>
      </c>
      <c r="AW67" s="259">
        <v>106.6</v>
      </c>
      <c r="AX67" s="260">
        <v>703</v>
      </c>
      <c r="AY67" s="259">
        <v>878.9</v>
      </c>
      <c r="AZ67" s="260">
        <v>509.2</v>
      </c>
      <c r="BA67" s="260">
        <v>1063.8</v>
      </c>
      <c r="BB67" s="255">
        <v>643.5</v>
      </c>
      <c r="BC67" s="260">
        <v>667.9</v>
      </c>
      <c r="BD67" s="255">
        <v>1153.5999999999999</v>
      </c>
      <c r="BE67" s="254"/>
      <c r="BF67" s="53"/>
    </row>
    <row r="68" spans="1:58" ht="18" customHeight="1">
      <c r="A68" s="227" t="s">
        <v>46</v>
      </c>
      <c r="B68" s="254">
        <v>232</v>
      </c>
      <c r="C68" s="255">
        <v>284.5</v>
      </c>
      <c r="D68" s="256">
        <v>329</v>
      </c>
      <c r="E68" s="256">
        <v>652.6</v>
      </c>
      <c r="F68" s="256">
        <v>326.10000000000002</v>
      </c>
      <c r="G68" s="257">
        <v>326.10000000000002</v>
      </c>
      <c r="H68" s="255">
        <v>533.79999999999995</v>
      </c>
      <c r="I68" s="256">
        <v>567.20000000000005</v>
      </c>
      <c r="J68" s="256">
        <v>638.9</v>
      </c>
      <c r="K68" s="256">
        <v>476.1</v>
      </c>
      <c r="L68" s="257">
        <v>476.1</v>
      </c>
      <c r="M68" s="256">
        <v>447.4</v>
      </c>
      <c r="N68" s="257">
        <v>447.4</v>
      </c>
      <c r="O68" s="255">
        <v>397.3</v>
      </c>
      <c r="P68" s="256">
        <v>466</v>
      </c>
      <c r="Q68" s="256">
        <v>540.4</v>
      </c>
      <c r="R68" s="258">
        <v>446.42499999999995</v>
      </c>
      <c r="S68" s="259">
        <v>446.42499999999995</v>
      </c>
      <c r="T68" s="255">
        <v>370.40000000000003</v>
      </c>
      <c r="U68" s="256">
        <v>430.5</v>
      </c>
      <c r="V68" s="256">
        <v>430.5</v>
      </c>
      <c r="W68" s="256">
        <v>528</v>
      </c>
      <c r="X68" s="258">
        <v>439.09999999999997</v>
      </c>
      <c r="Y68" s="259">
        <v>439.09999999999997</v>
      </c>
      <c r="Z68" s="255">
        <v>342.6</v>
      </c>
      <c r="AA68" s="256">
        <v>1063.5</v>
      </c>
      <c r="AB68" s="256">
        <v>1063.5</v>
      </c>
      <c r="AC68" s="256">
        <v>715</v>
      </c>
      <c r="AD68" s="258">
        <v>737.5</v>
      </c>
      <c r="AE68" s="259">
        <v>737.5</v>
      </c>
      <c r="AF68" s="255">
        <v>373.8</v>
      </c>
      <c r="AG68" s="256">
        <v>557.1</v>
      </c>
      <c r="AH68" s="256">
        <v>557.1</v>
      </c>
      <c r="AI68" s="256">
        <v>649.79999999999995</v>
      </c>
      <c r="AJ68" s="258">
        <v>636.29999999999995</v>
      </c>
      <c r="AK68" s="259">
        <v>636.29999999999995</v>
      </c>
      <c r="AL68" s="260">
        <v>830</v>
      </c>
      <c r="AM68" s="259">
        <v>487.4</v>
      </c>
      <c r="AN68" s="260">
        <v>929.1</v>
      </c>
      <c r="AO68" s="259">
        <v>573.20000000000005</v>
      </c>
      <c r="AP68" s="260">
        <v>648.70000000000005</v>
      </c>
      <c r="AQ68" s="259">
        <v>723.5</v>
      </c>
      <c r="AR68" s="260">
        <v>659.4</v>
      </c>
      <c r="AS68" s="259">
        <v>712.3</v>
      </c>
      <c r="AT68" s="260">
        <v>1151.9000000000001</v>
      </c>
      <c r="AU68" s="259">
        <v>823</v>
      </c>
      <c r="AV68" s="260">
        <v>987.4</v>
      </c>
      <c r="AW68" s="259">
        <v>1215.8</v>
      </c>
      <c r="AX68" s="260">
        <v>913</v>
      </c>
      <c r="AY68" s="259">
        <v>782.8</v>
      </c>
      <c r="AZ68" s="260">
        <v>1328.3</v>
      </c>
      <c r="BA68" s="260">
        <v>719.9</v>
      </c>
      <c r="BB68" s="255">
        <v>1064.9000000000001</v>
      </c>
      <c r="BC68" s="260">
        <v>1260.5999999999999</v>
      </c>
      <c r="BD68" s="255">
        <v>1091.2</v>
      </c>
      <c r="BE68" s="254"/>
      <c r="BF68" s="53"/>
    </row>
    <row r="69" spans="1:58" hidden="1">
      <c r="A69" s="227" t="s">
        <v>171</v>
      </c>
      <c r="B69" s="255"/>
      <c r="C69" s="255"/>
      <c r="D69" s="256"/>
      <c r="E69" s="256"/>
      <c r="F69" s="256"/>
      <c r="G69" s="257"/>
      <c r="H69" s="255"/>
      <c r="I69" s="256"/>
      <c r="J69" s="256"/>
      <c r="K69" s="256"/>
      <c r="L69" s="257"/>
      <c r="M69" s="256"/>
      <c r="N69" s="257"/>
      <c r="O69" s="255"/>
      <c r="P69" s="256"/>
      <c r="Q69" s="256"/>
      <c r="R69" s="256"/>
      <c r="S69" s="259"/>
      <c r="T69" s="255"/>
      <c r="U69" s="256"/>
      <c r="V69" s="256"/>
      <c r="W69" s="256"/>
      <c r="X69" s="256"/>
      <c r="Y69" s="259"/>
      <c r="Z69" s="255"/>
      <c r="AA69" s="256"/>
      <c r="AB69" s="256"/>
      <c r="AC69" s="256"/>
      <c r="AD69" s="256"/>
      <c r="AE69" s="259"/>
      <c r="AF69" s="255"/>
      <c r="AG69" s="256"/>
      <c r="AH69" s="256"/>
      <c r="AI69" s="256"/>
      <c r="AJ69" s="256"/>
      <c r="AK69" s="259"/>
      <c r="AL69" s="260"/>
      <c r="AM69" s="259"/>
      <c r="AN69" s="260"/>
      <c r="AO69" s="259"/>
      <c r="AP69" s="260"/>
      <c r="AQ69" s="259"/>
      <c r="AR69" s="260"/>
      <c r="AS69" s="259"/>
      <c r="AT69" s="260"/>
      <c r="AU69" s="259"/>
      <c r="AV69" s="260"/>
      <c r="AW69" s="259"/>
      <c r="AX69" s="260"/>
      <c r="AY69" s="259"/>
      <c r="AZ69" s="260"/>
      <c r="BA69" s="260"/>
      <c r="BB69" s="255"/>
      <c r="BC69" s="260"/>
      <c r="BD69" s="255"/>
      <c r="BE69" s="254"/>
      <c r="BF69" s="53"/>
    </row>
    <row r="70" spans="1:58" s="53" customFormat="1">
      <c r="A70" s="226" t="s">
        <v>96</v>
      </c>
      <c r="B70" s="248">
        <f>+SUM(B65:B68)</f>
        <v>1748.5</v>
      </c>
      <c r="C70" s="248">
        <f t="shared" ref="C70:AU70" si="135">+SUM(C65:C68)</f>
        <v>1912.3</v>
      </c>
      <c r="D70" s="249">
        <f t="shared" si="135"/>
        <v>2271.9</v>
      </c>
      <c r="E70" s="249">
        <f t="shared" si="135"/>
        <v>2290</v>
      </c>
      <c r="F70" s="249">
        <f t="shared" si="135"/>
        <v>1929.5</v>
      </c>
      <c r="G70" s="250">
        <f t="shared" si="135"/>
        <v>1929.5</v>
      </c>
      <c r="H70" s="251">
        <f t="shared" si="135"/>
        <v>2258.3999999999996</v>
      </c>
      <c r="I70" s="249">
        <f t="shared" si="135"/>
        <v>2617.1999999999998</v>
      </c>
      <c r="J70" s="249">
        <f t="shared" si="135"/>
        <v>2361.1</v>
      </c>
      <c r="K70" s="249">
        <f t="shared" si="135"/>
        <v>2050</v>
      </c>
      <c r="L70" s="250">
        <f t="shared" si="135"/>
        <v>2050</v>
      </c>
      <c r="M70" s="249">
        <f t="shared" si="135"/>
        <v>2015.1</v>
      </c>
      <c r="N70" s="250">
        <f t="shared" si="135"/>
        <v>2015.1</v>
      </c>
      <c r="O70" s="251">
        <f t="shared" si="135"/>
        <v>2029.6</v>
      </c>
      <c r="P70" s="249">
        <f t="shared" si="135"/>
        <v>2354.6</v>
      </c>
      <c r="Q70" s="249">
        <f t="shared" si="135"/>
        <v>2168.3000000000002</v>
      </c>
      <c r="R70" s="249">
        <f t="shared" si="135"/>
        <v>1980.675</v>
      </c>
      <c r="S70" s="250">
        <f t="shared" si="135"/>
        <v>1980.675</v>
      </c>
      <c r="T70" s="251">
        <f t="shared" si="135"/>
        <v>1992.1000000000001</v>
      </c>
      <c r="U70" s="249">
        <f t="shared" si="135"/>
        <v>2311</v>
      </c>
      <c r="V70" s="249">
        <f t="shared" si="135"/>
        <v>2311</v>
      </c>
      <c r="W70" s="249">
        <f t="shared" si="135"/>
        <v>2150.7999999999997</v>
      </c>
      <c r="X70" s="249">
        <f t="shared" si="135"/>
        <v>1970.7999999999997</v>
      </c>
      <c r="Y70" s="250">
        <f t="shared" si="135"/>
        <v>1970.7999999999997</v>
      </c>
      <c r="Z70" s="251">
        <f t="shared" si="135"/>
        <v>1967</v>
      </c>
      <c r="AA70" s="249">
        <f t="shared" si="135"/>
        <v>2844.1</v>
      </c>
      <c r="AB70" s="249">
        <f t="shared" si="135"/>
        <v>2844.1</v>
      </c>
      <c r="AC70" s="249">
        <f t="shared" si="135"/>
        <v>2246</v>
      </c>
      <c r="AD70" s="249">
        <f t="shared" si="135"/>
        <v>2151.6</v>
      </c>
      <c r="AE70" s="250">
        <f t="shared" si="135"/>
        <v>2151.6</v>
      </c>
      <c r="AF70" s="251">
        <f t="shared" si="135"/>
        <v>1856.3</v>
      </c>
      <c r="AG70" s="249">
        <f t="shared" si="135"/>
        <v>2279.9</v>
      </c>
      <c r="AH70" s="249">
        <f t="shared" si="135"/>
        <v>2279.9</v>
      </c>
      <c r="AI70" s="249">
        <f t="shared" si="135"/>
        <v>2197.6000000000004</v>
      </c>
      <c r="AJ70" s="249">
        <f t="shared" si="135"/>
        <v>2062.1</v>
      </c>
      <c r="AK70" s="250">
        <f t="shared" si="135"/>
        <v>2062.1</v>
      </c>
      <c r="AL70" s="252">
        <f t="shared" si="135"/>
        <v>2487.3999999999996</v>
      </c>
      <c r="AM70" s="253">
        <f t="shared" si="135"/>
        <v>1868</v>
      </c>
      <c r="AN70" s="252">
        <f t="shared" si="135"/>
        <v>2507.4</v>
      </c>
      <c r="AO70" s="253">
        <f t="shared" si="135"/>
        <v>2061.3000000000002</v>
      </c>
      <c r="AP70" s="252">
        <f t="shared" si="135"/>
        <v>2355.5</v>
      </c>
      <c r="AQ70" s="253">
        <f t="shared" si="135"/>
        <v>2285.6000000000004</v>
      </c>
      <c r="AR70" s="252">
        <f t="shared" si="135"/>
        <v>2779.4</v>
      </c>
      <c r="AS70" s="253">
        <f t="shared" si="135"/>
        <v>2438.1999999999998</v>
      </c>
      <c r="AT70" s="252">
        <f t="shared" si="135"/>
        <v>3636.3</v>
      </c>
      <c r="AU70" s="253">
        <f t="shared" si="135"/>
        <v>3076.3</v>
      </c>
      <c r="AV70" s="252">
        <f>+SUM(AV65:AV69)</f>
        <v>2659.6</v>
      </c>
      <c r="AW70" s="253">
        <v>2527.1</v>
      </c>
      <c r="AX70" s="252">
        <f>+SUM(AX65:AX69)</f>
        <v>3277.5</v>
      </c>
      <c r="AY70" s="253">
        <f>+SUM(AY65:AY69)</f>
        <v>3156.8999999999996</v>
      </c>
      <c r="AZ70" s="252">
        <f>+SUM(AZ65:AZ69)</f>
        <v>4103.8999999999996</v>
      </c>
      <c r="BA70" s="252">
        <v>3716.2</v>
      </c>
      <c r="BB70" s="251">
        <v>4190.3999999999996</v>
      </c>
      <c r="BC70" s="487">
        <v>3910.2</v>
      </c>
      <c r="BD70" s="507">
        <v>5008.3999999999996</v>
      </c>
      <c r="BE70" s="510"/>
    </row>
    <row r="71" spans="1:58" s="53" customFormat="1">
      <c r="A71" s="228" t="s">
        <v>47</v>
      </c>
      <c r="B71" s="233">
        <f>+B70+B64</f>
        <v>6796.8</v>
      </c>
      <c r="C71" s="234">
        <f t="shared" ref="C71:AU71" si="136">+C70+C64</f>
        <v>7089.4000000000005</v>
      </c>
      <c r="D71" s="235">
        <f t="shared" si="136"/>
        <v>7538.9</v>
      </c>
      <c r="E71" s="235">
        <f t="shared" si="136"/>
        <v>7483.7</v>
      </c>
      <c r="F71" s="235">
        <f t="shared" si="136"/>
        <v>7210.7</v>
      </c>
      <c r="G71" s="236">
        <f t="shared" si="136"/>
        <v>7210.7</v>
      </c>
      <c r="H71" s="237">
        <f t="shared" si="136"/>
        <v>7471</v>
      </c>
      <c r="I71" s="235">
        <f t="shared" si="136"/>
        <v>7882.8</v>
      </c>
      <c r="J71" s="235">
        <f t="shared" si="136"/>
        <v>7535.5</v>
      </c>
      <c r="K71" s="235">
        <f t="shared" si="136"/>
        <v>7257.4</v>
      </c>
      <c r="L71" s="236">
        <f t="shared" si="136"/>
        <v>7257.4</v>
      </c>
      <c r="M71" s="235">
        <f t="shared" si="136"/>
        <v>7243.5</v>
      </c>
      <c r="N71" s="236">
        <f t="shared" si="136"/>
        <v>7243.5</v>
      </c>
      <c r="O71" s="237">
        <f t="shared" si="136"/>
        <v>7292.6</v>
      </c>
      <c r="P71" s="235">
        <f t="shared" si="136"/>
        <v>7624.2000000000007</v>
      </c>
      <c r="Q71" s="235">
        <f t="shared" si="136"/>
        <v>7452.8</v>
      </c>
      <c r="R71" s="235">
        <f t="shared" si="136"/>
        <v>7193.1750000000002</v>
      </c>
      <c r="S71" s="236">
        <f t="shared" si="136"/>
        <v>7193.1750000000002</v>
      </c>
      <c r="T71" s="237">
        <f t="shared" si="136"/>
        <v>7297.1</v>
      </c>
      <c r="U71" s="235">
        <f t="shared" si="136"/>
        <v>7644.5</v>
      </c>
      <c r="V71" s="235">
        <f t="shared" si="136"/>
        <v>7644.5</v>
      </c>
      <c r="W71" s="235">
        <f t="shared" si="136"/>
        <v>7504.5</v>
      </c>
      <c r="X71" s="235">
        <f t="shared" si="136"/>
        <v>7250.1</v>
      </c>
      <c r="Y71" s="236">
        <f t="shared" si="136"/>
        <v>7250.1</v>
      </c>
      <c r="Z71" s="237">
        <f t="shared" si="136"/>
        <v>7249.5</v>
      </c>
      <c r="AA71" s="235">
        <f t="shared" si="136"/>
        <v>8045.7000000000007</v>
      </c>
      <c r="AB71" s="235">
        <f t="shared" si="136"/>
        <v>8045.7000000000007</v>
      </c>
      <c r="AC71" s="235">
        <f t="shared" si="136"/>
        <v>7389.6</v>
      </c>
      <c r="AD71" s="235">
        <f t="shared" si="136"/>
        <v>7274.7999999999993</v>
      </c>
      <c r="AE71" s="236">
        <f t="shared" si="136"/>
        <v>7274.7999999999993</v>
      </c>
      <c r="AF71" s="237">
        <f t="shared" si="136"/>
        <v>6834.4</v>
      </c>
      <c r="AG71" s="235">
        <f t="shared" si="136"/>
        <v>7333.7000000000007</v>
      </c>
      <c r="AH71" s="235">
        <f t="shared" si="136"/>
        <v>7333.7000000000007</v>
      </c>
      <c r="AI71" s="235">
        <f t="shared" si="136"/>
        <v>7223</v>
      </c>
      <c r="AJ71" s="235">
        <f t="shared" si="136"/>
        <v>6879</v>
      </c>
      <c r="AK71" s="236">
        <f t="shared" si="136"/>
        <v>6879</v>
      </c>
      <c r="AL71" s="238">
        <f t="shared" si="136"/>
        <v>7304.7999999999993</v>
      </c>
      <c r="AM71" s="239">
        <f t="shared" si="136"/>
        <v>6533.2</v>
      </c>
      <c r="AN71" s="238">
        <f t="shared" si="136"/>
        <v>6973.7999999999993</v>
      </c>
      <c r="AO71" s="239">
        <f t="shared" si="136"/>
        <v>6564.9000000000005</v>
      </c>
      <c r="AP71" s="238">
        <f t="shared" si="136"/>
        <v>6729.3</v>
      </c>
      <c r="AQ71" s="239">
        <f t="shared" si="136"/>
        <v>6630.2000000000007</v>
      </c>
      <c r="AR71" s="238">
        <f t="shared" si="136"/>
        <v>7176.2999999999993</v>
      </c>
      <c r="AS71" s="239">
        <f t="shared" si="136"/>
        <v>6854.3</v>
      </c>
      <c r="AT71" s="238">
        <f t="shared" si="136"/>
        <v>8591.6</v>
      </c>
      <c r="AU71" s="239">
        <f t="shared" si="136"/>
        <v>8214</v>
      </c>
      <c r="AV71" s="238">
        <f>+AV70+AV64</f>
        <v>7780</v>
      </c>
      <c r="AW71" s="239">
        <v>7573.1</v>
      </c>
      <c r="AX71" s="238">
        <v>8406.9</v>
      </c>
      <c r="AY71" s="239">
        <f>+AY70+AY64</f>
        <v>8514.2999999999993</v>
      </c>
      <c r="AZ71" s="238">
        <f>AZ70+AZ64</f>
        <v>10410.799999999999</v>
      </c>
      <c r="BA71" s="239">
        <v>9855.7000000000007</v>
      </c>
      <c r="BB71" s="238">
        <v>9976.2000000000007</v>
      </c>
      <c r="BC71" s="238">
        <v>9880.7999999999993</v>
      </c>
      <c r="BD71" s="237">
        <v>10819.5</v>
      </c>
      <c r="BE71" s="511"/>
    </row>
    <row r="72" spans="1:58" ht="4.25" customHeight="1">
      <c r="A72" s="227"/>
      <c r="B72" s="254"/>
      <c r="C72" s="255"/>
      <c r="D72" s="256"/>
      <c r="E72" s="256"/>
      <c r="F72" s="256"/>
      <c r="G72" s="257"/>
      <c r="H72" s="255"/>
      <c r="I72" s="256"/>
      <c r="J72" s="256"/>
      <c r="K72" s="256"/>
      <c r="L72" s="257"/>
      <c r="M72" s="256"/>
      <c r="N72" s="257"/>
      <c r="O72" s="255"/>
      <c r="P72" s="256"/>
      <c r="Q72" s="256"/>
      <c r="R72" s="258"/>
      <c r="S72" s="259"/>
      <c r="T72" s="255"/>
      <c r="U72" s="256"/>
      <c r="V72" s="256"/>
      <c r="W72" s="256"/>
      <c r="X72" s="258"/>
      <c r="Y72" s="259"/>
      <c r="Z72" s="255"/>
      <c r="AA72" s="256"/>
      <c r="AB72" s="256"/>
      <c r="AC72" s="256"/>
      <c r="AD72" s="258"/>
      <c r="AE72" s="259"/>
      <c r="AF72" s="255"/>
      <c r="AG72" s="256"/>
      <c r="AH72" s="256"/>
      <c r="AI72" s="256"/>
      <c r="AJ72" s="258"/>
      <c r="AK72" s="259"/>
      <c r="AL72" s="260"/>
      <c r="AM72" s="259"/>
      <c r="AN72" s="260"/>
      <c r="AO72" s="259"/>
      <c r="AP72" s="260"/>
      <c r="AQ72" s="259"/>
      <c r="AR72" s="260"/>
      <c r="AS72" s="259"/>
      <c r="AT72" s="260"/>
      <c r="AU72" s="259"/>
      <c r="AV72" s="260"/>
      <c r="AW72" s="259"/>
      <c r="AX72" s="260"/>
      <c r="AY72" s="259"/>
      <c r="AZ72" s="260"/>
      <c r="BA72" s="259"/>
      <c r="BB72" s="260"/>
      <c r="BC72" s="260"/>
      <c r="BD72" s="255"/>
      <c r="BE72" s="254"/>
      <c r="BF72" s="53"/>
    </row>
    <row r="73" spans="1:58">
      <c r="A73" s="227" t="s">
        <v>48</v>
      </c>
      <c r="B73" s="254">
        <v>307</v>
      </c>
      <c r="C73" s="255">
        <v>320.89999999999998</v>
      </c>
      <c r="D73" s="256">
        <v>261.10000000000002</v>
      </c>
      <c r="E73" s="256">
        <v>755.8</v>
      </c>
      <c r="F73" s="256">
        <v>535.1</v>
      </c>
      <c r="G73" s="257">
        <f t="shared" ref="G73:G78" si="137">F73</f>
        <v>535.1</v>
      </c>
      <c r="H73" s="255">
        <v>528.5</v>
      </c>
      <c r="I73" s="256">
        <v>606.70000000000005</v>
      </c>
      <c r="J73" s="256">
        <v>433.4</v>
      </c>
      <c r="K73" s="256">
        <v>321.5</v>
      </c>
      <c r="L73" s="257">
        <f t="shared" ref="L73:L78" si="138">K73</f>
        <v>321.5</v>
      </c>
      <c r="M73" s="256">
        <v>321.5</v>
      </c>
      <c r="N73" s="257">
        <f>M73</f>
        <v>321.5</v>
      </c>
      <c r="O73" s="255">
        <v>324.7</v>
      </c>
      <c r="P73" s="256">
        <v>264.7</v>
      </c>
      <c r="Q73" s="256">
        <v>600.1</v>
      </c>
      <c r="R73" s="258">
        <v>560.29999999999995</v>
      </c>
      <c r="S73" s="259">
        <f t="shared" ref="S73:S78" si="139">R73</f>
        <v>560.29999999999995</v>
      </c>
      <c r="T73" s="255">
        <v>324.7</v>
      </c>
      <c r="U73" s="256">
        <v>264.7</v>
      </c>
      <c r="V73" s="256">
        <f t="shared" ref="V73:V83" si="140">U73</f>
        <v>264.7</v>
      </c>
      <c r="W73" s="256">
        <v>594.80000000000007</v>
      </c>
      <c r="X73" s="258">
        <v>555</v>
      </c>
      <c r="Y73" s="259">
        <f t="shared" ref="Y73:Y78" si="141">X73</f>
        <v>555</v>
      </c>
      <c r="Z73" s="255">
        <v>1070.0999999999999</v>
      </c>
      <c r="AA73" s="256">
        <v>911.7</v>
      </c>
      <c r="AB73" s="256">
        <f t="shared" ref="AB73:AB83" si="142">AA73</f>
        <v>911.7</v>
      </c>
      <c r="AC73" s="256">
        <v>471.7</v>
      </c>
      <c r="AD73" s="258">
        <v>446.2</v>
      </c>
      <c r="AE73" s="259">
        <f t="shared" ref="AE73:AE78" si="143">AD73</f>
        <v>446.2</v>
      </c>
      <c r="AF73" s="255">
        <v>194</v>
      </c>
      <c r="AG73" s="256">
        <v>228</v>
      </c>
      <c r="AH73" s="256">
        <f t="shared" ref="AH73:AH83" si="144">AG73</f>
        <v>228</v>
      </c>
      <c r="AI73" s="256">
        <v>502.7</v>
      </c>
      <c r="AJ73" s="258">
        <v>548.6</v>
      </c>
      <c r="AK73" s="259">
        <f t="shared" ref="AK73:AK78" si="145">AJ73</f>
        <v>548.6</v>
      </c>
      <c r="AL73" s="260">
        <v>506.6</v>
      </c>
      <c r="AM73" s="259">
        <v>781.5</v>
      </c>
      <c r="AN73" s="260">
        <v>556.79999999999995</v>
      </c>
      <c r="AO73" s="259">
        <v>156.5</v>
      </c>
      <c r="AP73" s="260">
        <v>159.9</v>
      </c>
      <c r="AQ73" s="259">
        <v>166.4</v>
      </c>
      <c r="AR73" s="260">
        <v>113.8</v>
      </c>
      <c r="AS73" s="259">
        <v>136.4</v>
      </c>
      <c r="AT73" s="260">
        <v>746.7</v>
      </c>
      <c r="AU73" s="259">
        <v>761.8</v>
      </c>
      <c r="AV73" s="260">
        <v>424.1</v>
      </c>
      <c r="AW73" s="259">
        <v>315.2</v>
      </c>
      <c r="AX73" s="260">
        <v>382.1</v>
      </c>
      <c r="AY73" s="380">
        <v>381.7</v>
      </c>
      <c r="AZ73" s="260">
        <v>675.7</v>
      </c>
      <c r="BA73" s="380">
        <v>337</v>
      </c>
      <c r="BB73" s="260">
        <v>289.10000000000002</v>
      </c>
      <c r="BC73" s="260">
        <v>948.1</v>
      </c>
      <c r="BD73" s="255">
        <v>978.6</v>
      </c>
      <c r="BE73" s="254"/>
      <c r="BF73" s="53"/>
    </row>
    <row r="74" spans="1:58">
      <c r="A74" s="227" t="s">
        <v>49</v>
      </c>
      <c r="B74" s="254">
        <v>1335.6</v>
      </c>
      <c r="C74" s="255">
        <v>1440.7</v>
      </c>
      <c r="D74" s="256">
        <v>1745.2</v>
      </c>
      <c r="E74" s="256">
        <v>1603.9</v>
      </c>
      <c r="F74" s="256">
        <v>1501.3</v>
      </c>
      <c r="G74" s="257">
        <f t="shared" si="137"/>
        <v>1501.3</v>
      </c>
      <c r="H74" s="255">
        <v>1531.1</v>
      </c>
      <c r="I74" s="256">
        <v>1904.4</v>
      </c>
      <c r="J74" s="256">
        <v>1738.4</v>
      </c>
      <c r="K74" s="256">
        <v>1599.9</v>
      </c>
      <c r="L74" s="257">
        <f t="shared" si="138"/>
        <v>1599.9</v>
      </c>
      <c r="M74" s="256">
        <v>1589.6</v>
      </c>
      <c r="N74" s="257">
        <f>M74</f>
        <v>1589.6</v>
      </c>
      <c r="O74" s="255">
        <v>1630.5</v>
      </c>
      <c r="P74" s="256">
        <v>2008.3</v>
      </c>
      <c r="Q74" s="256">
        <v>1814.7</v>
      </c>
      <c r="R74" s="258">
        <v>1678</v>
      </c>
      <c r="S74" s="259">
        <f t="shared" si="139"/>
        <v>1678</v>
      </c>
      <c r="T74" s="255">
        <v>1616.2</v>
      </c>
      <c r="U74" s="256">
        <v>1989</v>
      </c>
      <c r="V74" s="256">
        <f t="shared" si="140"/>
        <v>1989</v>
      </c>
      <c r="W74" s="256">
        <v>1798.2</v>
      </c>
      <c r="X74" s="258">
        <v>1667.3</v>
      </c>
      <c r="Y74" s="259">
        <f t="shared" si="141"/>
        <v>1667.3</v>
      </c>
      <c r="Z74" s="255">
        <v>1689.8</v>
      </c>
      <c r="AA74" s="256">
        <v>2001.8</v>
      </c>
      <c r="AB74" s="256">
        <f t="shared" si="142"/>
        <v>2001.8</v>
      </c>
      <c r="AC74" s="256">
        <v>1671.1</v>
      </c>
      <c r="AD74" s="258">
        <v>1619.8999999999999</v>
      </c>
      <c r="AE74" s="259">
        <f t="shared" si="143"/>
        <v>1619.8999999999999</v>
      </c>
      <c r="AF74" s="255">
        <v>1582.7</v>
      </c>
      <c r="AG74" s="256">
        <v>1982.1</v>
      </c>
      <c r="AH74" s="256">
        <f t="shared" si="144"/>
        <v>1982.1</v>
      </c>
      <c r="AI74" s="256">
        <v>1838.5</v>
      </c>
      <c r="AJ74" s="258">
        <v>1647.3</v>
      </c>
      <c r="AK74" s="259">
        <f t="shared" si="145"/>
        <v>1647.3</v>
      </c>
      <c r="AL74" s="260">
        <v>2061.4</v>
      </c>
      <c r="AM74" s="259">
        <v>1709.4</v>
      </c>
      <c r="AN74" s="260">
        <v>2056.6</v>
      </c>
      <c r="AO74" s="259">
        <v>1811.6</v>
      </c>
      <c r="AP74" s="260">
        <v>2060.3000000000002</v>
      </c>
      <c r="AQ74" s="259">
        <v>1730</v>
      </c>
      <c r="AR74" s="260">
        <f>2322.5-2.9</f>
        <v>2319.6</v>
      </c>
      <c r="AS74" s="259">
        <v>1882.2</v>
      </c>
      <c r="AT74" s="260">
        <v>3136.3</v>
      </c>
      <c r="AU74" s="259">
        <v>1905.4</v>
      </c>
      <c r="AV74" s="260">
        <v>2043.1</v>
      </c>
      <c r="AW74" s="259">
        <v>1711</v>
      </c>
      <c r="AX74" s="260">
        <v>2441.6</v>
      </c>
      <c r="AY74" s="380">
        <v>2134.6999999999998</v>
      </c>
      <c r="AZ74" s="260">
        <v>3339.2</v>
      </c>
      <c r="BA74" s="380">
        <v>2669.7</v>
      </c>
      <c r="BB74" s="260">
        <v>3165.7</v>
      </c>
      <c r="BC74" s="260">
        <v>2899.2</v>
      </c>
      <c r="BD74" s="255">
        <v>3415</v>
      </c>
      <c r="BE74" s="254"/>
      <c r="BF74" s="53"/>
    </row>
    <row r="75" spans="1:58" s="53" customFormat="1">
      <c r="A75" s="226" t="s">
        <v>50</v>
      </c>
      <c r="B75" s="247">
        <v>1642.6</v>
      </c>
      <c r="C75" s="248">
        <f t="shared" ref="C75:M75" si="146">+C74+C73</f>
        <v>1761.6</v>
      </c>
      <c r="D75" s="249">
        <f t="shared" si="146"/>
        <v>2006.3000000000002</v>
      </c>
      <c r="E75" s="249">
        <f t="shared" si="146"/>
        <v>2359.6999999999998</v>
      </c>
      <c r="F75" s="249">
        <f t="shared" si="146"/>
        <v>2036.4</v>
      </c>
      <c r="G75" s="250">
        <f t="shared" si="137"/>
        <v>2036.4</v>
      </c>
      <c r="H75" s="251">
        <f t="shared" si="146"/>
        <v>2059.6</v>
      </c>
      <c r="I75" s="249">
        <f t="shared" si="146"/>
        <v>2511.1000000000004</v>
      </c>
      <c r="J75" s="249">
        <f t="shared" si="146"/>
        <v>2171.8000000000002</v>
      </c>
      <c r="K75" s="249">
        <f>+K74+K73</f>
        <v>1921.4</v>
      </c>
      <c r="L75" s="250">
        <f t="shared" si="138"/>
        <v>1921.4</v>
      </c>
      <c r="M75" s="249">
        <f t="shared" si="146"/>
        <v>1911.1</v>
      </c>
      <c r="N75" s="250">
        <f>+N73+N74</f>
        <v>1911.1</v>
      </c>
      <c r="O75" s="251">
        <f>+O74+O73</f>
        <v>1955.2</v>
      </c>
      <c r="P75" s="249">
        <f>+P74+P73</f>
        <v>2273</v>
      </c>
      <c r="Q75" s="249">
        <f>+Q74+Q73</f>
        <v>2414.8000000000002</v>
      </c>
      <c r="R75" s="249">
        <f>+R74+R73</f>
        <v>2238.3000000000002</v>
      </c>
      <c r="S75" s="250">
        <f t="shared" si="139"/>
        <v>2238.3000000000002</v>
      </c>
      <c r="T75" s="251">
        <f>+T74+T73</f>
        <v>1940.9</v>
      </c>
      <c r="U75" s="249">
        <f>+U74+U73</f>
        <v>2253.6999999999998</v>
      </c>
      <c r="V75" s="249">
        <f t="shared" si="140"/>
        <v>2253.6999999999998</v>
      </c>
      <c r="W75" s="249">
        <f>+W74+W73</f>
        <v>2393</v>
      </c>
      <c r="X75" s="249">
        <f>+X74+X73</f>
        <v>2222.3000000000002</v>
      </c>
      <c r="Y75" s="250">
        <f t="shared" si="141"/>
        <v>2222.3000000000002</v>
      </c>
      <c r="Z75" s="251">
        <f>+Z74+Z73</f>
        <v>2759.8999999999996</v>
      </c>
      <c r="AA75" s="249">
        <f>+AA74+AA73</f>
        <v>2913.5</v>
      </c>
      <c r="AB75" s="249">
        <f t="shared" si="142"/>
        <v>2913.5</v>
      </c>
      <c r="AC75" s="249">
        <f>+AC74+AC73</f>
        <v>2142.7999999999997</v>
      </c>
      <c r="AD75" s="249">
        <f>+AD74+AD73</f>
        <v>2066.1</v>
      </c>
      <c r="AE75" s="250">
        <f t="shared" si="143"/>
        <v>2066.1</v>
      </c>
      <c r="AF75" s="251">
        <f>+AF74+AF73</f>
        <v>1776.7</v>
      </c>
      <c r="AG75" s="249">
        <f>+AG74+AG73</f>
        <v>2210.1</v>
      </c>
      <c r="AH75" s="249">
        <f t="shared" si="144"/>
        <v>2210.1</v>
      </c>
      <c r="AI75" s="249">
        <f>+AI74+AI73</f>
        <v>2341.1999999999998</v>
      </c>
      <c r="AJ75" s="249">
        <f>+AJ74+AJ73</f>
        <v>2195.9</v>
      </c>
      <c r="AK75" s="250">
        <f t="shared" si="145"/>
        <v>2195.9</v>
      </c>
      <c r="AL75" s="252">
        <v>2568</v>
      </c>
      <c r="AM75" s="253">
        <f>+AM74+AM73</f>
        <v>2490.9</v>
      </c>
      <c r="AN75" s="252">
        <v>2613.4</v>
      </c>
      <c r="AO75" s="253">
        <f>+AO74+AO73</f>
        <v>1968.1</v>
      </c>
      <c r="AP75" s="252">
        <v>2220.1999999999998</v>
      </c>
      <c r="AQ75" s="253">
        <v>1896.4</v>
      </c>
      <c r="AR75" s="252">
        <f>2436.3-2.9</f>
        <v>2433.4</v>
      </c>
      <c r="AS75" s="253">
        <v>2018.6</v>
      </c>
      <c r="AT75" s="252">
        <v>3883</v>
      </c>
      <c r="AU75" s="253">
        <v>2667.2</v>
      </c>
      <c r="AV75" s="252">
        <f>SUM(AV73:AV74)</f>
        <v>2467.1999999999998</v>
      </c>
      <c r="AW75" s="253">
        <v>2026.2</v>
      </c>
      <c r="AX75" s="252">
        <f>SUM(AX73:AX74)</f>
        <v>2823.7</v>
      </c>
      <c r="AY75" s="213">
        <f>SUM(AY73:AY74)</f>
        <v>2516.3999999999996</v>
      </c>
      <c r="AZ75" s="252">
        <f>SUM(AZ73:AZ74)</f>
        <v>4014.8999999999996</v>
      </c>
      <c r="BA75" s="213">
        <v>3006.7</v>
      </c>
      <c r="BB75" s="252">
        <v>3454.8</v>
      </c>
      <c r="BC75" s="252">
        <v>3847.3</v>
      </c>
      <c r="BD75" s="251">
        <v>4393.6000000000004</v>
      </c>
      <c r="BE75" s="512"/>
    </row>
    <row r="76" spans="1:58">
      <c r="A76" s="227" t="s">
        <v>51</v>
      </c>
      <c r="B76" s="254">
        <v>2100.6</v>
      </c>
      <c r="C76" s="255">
        <v>2137.8000000000002</v>
      </c>
      <c r="D76" s="256">
        <v>2224.1</v>
      </c>
      <c r="E76" s="256">
        <v>1655.3</v>
      </c>
      <c r="F76" s="256">
        <v>1656.4</v>
      </c>
      <c r="G76" s="257">
        <f t="shared" si="137"/>
        <v>1656.4</v>
      </c>
      <c r="H76" s="255">
        <v>1898</v>
      </c>
      <c r="I76" s="256">
        <v>1876</v>
      </c>
      <c r="J76" s="256">
        <v>1919.1</v>
      </c>
      <c r="K76" s="256">
        <v>1934.5</v>
      </c>
      <c r="L76" s="257">
        <f t="shared" si="138"/>
        <v>1934.5</v>
      </c>
      <c r="M76" s="256">
        <v>1939.8</v>
      </c>
      <c r="N76" s="257">
        <f>M76</f>
        <v>1939.8</v>
      </c>
      <c r="O76" s="255">
        <v>1921.1</v>
      </c>
      <c r="P76" s="256">
        <v>1971.9</v>
      </c>
      <c r="Q76" s="256">
        <v>1550.9</v>
      </c>
      <c r="R76" s="258">
        <v>1542.2</v>
      </c>
      <c r="S76" s="259">
        <f t="shared" si="139"/>
        <v>1542.2</v>
      </c>
      <c r="T76" s="255">
        <v>1926.5</v>
      </c>
      <c r="U76" s="256">
        <v>1999.2</v>
      </c>
      <c r="V76" s="256">
        <f t="shared" si="140"/>
        <v>1999.2</v>
      </c>
      <c r="W76" s="256">
        <v>1610.3000000000002</v>
      </c>
      <c r="X76" s="258">
        <v>1604.7</v>
      </c>
      <c r="Y76" s="259">
        <f t="shared" si="141"/>
        <v>1604.7</v>
      </c>
      <c r="Z76" s="255">
        <v>1103.9000000000001</v>
      </c>
      <c r="AA76" s="256">
        <v>1876</v>
      </c>
      <c r="AB76" s="256">
        <f t="shared" si="142"/>
        <v>1876</v>
      </c>
      <c r="AC76" s="256">
        <v>1851</v>
      </c>
      <c r="AD76" s="258">
        <v>1853.6</v>
      </c>
      <c r="AE76" s="259">
        <f t="shared" si="143"/>
        <v>1853.6</v>
      </c>
      <c r="AF76" s="255">
        <v>1850</v>
      </c>
      <c r="AG76" s="256">
        <v>1855</v>
      </c>
      <c r="AH76" s="256">
        <f t="shared" si="144"/>
        <v>1855</v>
      </c>
      <c r="AI76" s="256">
        <v>1572.8</v>
      </c>
      <c r="AJ76" s="258">
        <v>1556.3</v>
      </c>
      <c r="AK76" s="259">
        <f t="shared" si="145"/>
        <v>1556.3</v>
      </c>
      <c r="AL76" s="260">
        <v>1524.8</v>
      </c>
      <c r="AM76" s="259">
        <v>923</v>
      </c>
      <c r="AN76" s="260">
        <v>1501.1</v>
      </c>
      <c r="AO76" s="259">
        <v>1468.1</v>
      </c>
      <c r="AP76" s="260">
        <v>1463</v>
      </c>
      <c r="AQ76" s="259">
        <v>1459.8</v>
      </c>
      <c r="AR76" s="260">
        <v>1456.9</v>
      </c>
      <c r="AS76" s="259">
        <v>1468</v>
      </c>
      <c r="AT76" s="260">
        <v>2075.5</v>
      </c>
      <c r="AU76" s="259">
        <v>2562.9</v>
      </c>
      <c r="AV76" s="260">
        <v>2569</v>
      </c>
      <c r="AW76" s="259">
        <v>2610.3000000000002</v>
      </c>
      <c r="AX76" s="260">
        <v>2555.4</v>
      </c>
      <c r="AY76" s="380">
        <v>2555.6999999999998</v>
      </c>
      <c r="AZ76" s="260">
        <v>2681.5</v>
      </c>
      <c r="BA76" s="380">
        <v>3082.9</v>
      </c>
      <c r="BB76" s="260">
        <v>3069.4</v>
      </c>
      <c r="BC76" s="260">
        <v>2476.4</v>
      </c>
      <c r="BD76" s="255">
        <v>3073.5</v>
      </c>
      <c r="BE76" s="254"/>
      <c r="BF76" s="53"/>
    </row>
    <row r="77" spans="1:58">
      <c r="A77" s="227" t="s">
        <v>52</v>
      </c>
      <c r="B77" s="254">
        <v>457.7</v>
      </c>
      <c r="C77" s="255">
        <v>419</v>
      </c>
      <c r="D77" s="256">
        <v>388.2</v>
      </c>
      <c r="E77" s="256">
        <v>456.8</v>
      </c>
      <c r="F77" s="256">
        <v>457.1</v>
      </c>
      <c r="G77" s="257">
        <f t="shared" si="137"/>
        <v>457.1</v>
      </c>
      <c r="H77" s="255">
        <v>483</v>
      </c>
      <c r="I77" s="256">
        <v>507.5</v>
      </c>
      <c r="J77" s="256">
        <v>517.70000000000005</v>
      </c>
      <c r="K77" s="256">
        <v>488.3</v>
      </c>
      <c r="L77" s="257">
        <f t="shared" si="138"/>
        <v>488.3</v>
      </c>
      <c r="M77" s="256">
        <v>472.4</v>
      </c>
      <c r="N77" s="257">
        <f>M77</f>
        <v>472.4</v>
      </c>
      <c r="O77" s="255">
        <v>489.4</v>
      </c>
      <c r="P77" s="256">
        <v>478.8</v>
      </c>
      <c r="Q77" s="256">
        <v>444.1</v>
      </c>
      <c r="R77" s="258">
        <v>413.8</v>
      </c>
      <c r="S77" s="259">
        <f t="shared" si="139"/>
        <v>413.8</v>
      </c>
      <c r="T77" s="255">
        <v>495.9</v>
      </c>
      <c r="U77" s="256">
        <v>485.6</v>
      </c>
      <c r="V77" s="256">
        <f t="shared" si="140"/>
        <v>485.6</v>
      </c>
      <c r="W77" s="256">
        <v>451.3</v>
      </c>
      <c r="X77" s="258">
        <v>416.6</v>
      </c>
      <c r="Y77" s="259">
        <f t="shared" si="141"/>
        <v>416.6</v>
      </c>
      <c r="Z77" s="255">
        <v>401.7</v>
      </c>
      <c r="AA77" s="256">
        <v>391.7</v>
      </c>
      <c r="AB77" s="256">
        <f t="shared" si="142"/>
        <v>391.7</v>
      </c>
      <c r="AC77" s="256">
        <v>391.8</v>
      </c>
      <c r="AD77" s="258">
        <v>387.8</v>
      </c>
      <c r="AE77" s="259">
        <f t="shared" si="143"/>
        <v>387.8</v>
      </c>
      <c r="AF77" s="255">
        <v>375</v>
      </c>
      <c r="AG77" s="256">
        <v>395.4</v>
      </c>
      <c r="AH77" s="256">
        <f t="shared" si="144"/>
        <v>395.4</v>
      </c>
      <c r="AI77" s="256">
        <v>330.1</v>
      </c>
      <c r="AJ77" s="258">
        <v>335.7</v>
      </c>
      <c r="AK77" s="259">
        <f t="shared" si="145"/>
        <v>335.7</v>
      </c>
      <c r="AL77" s="260">
        <v>308.3</v>
      </c>
      <c r="AM77" s="259">
        <v>295.2</v>
      </c>
      <c r="AN77" s="260">
        <v>304.39999999999998</v>
      </c>
      <c r="AO77" s="259">
        <v>258.60000000000002</v>
      </c>
      <c r="AP77" s="260">
        <v>252.4</v>
      </c>
      <c r="AQ77" s="259">
        <v>261.8</v>
      </c>
      <c r="AR77" s="260">
        <v>261.7</v>
      </c>
      <c r="AS77" s="259">
        <v>251.3</v>
      </c>
      <c r="AT77" s="260">
        <v>282.3</v>
      </c>
      <c r="AU77" s="259">
        <v>283.7</v>
      </c>
      <c r="AV77" s="260">
        <v>286.7</v>
      </c>
      <c r="AW77" s="259">
        <v>303.3</v>
      </c>
      <c r="AX77" s="260">
        <v>311.8</v>
      </c>
      <c r="AY77" s="380">
        <v>325.10000000000002</v>
      </c>
      <c r="AZ77" s="260">
        <v>419.7</v>
      </c>
      <c r="BA77" s="380">
        <v>380.5</v>
      </c>
      <c r="BB77" s="260">
        <v>351.1</v>
      </c>
      <c r="BC77" s="260">
        <v>370.4</v>
      </c>
      <c r="BD77" s="255">
        <v>351.3</v>
      </c>
      <c r="BE77" s="254"/>
      <c r="BF77" s="53"/>
    </row>
    <row r="78" spans="1:58" s="53" customFormat="1">
      <c r="A78" s="226" t="s">
        <v>53</v>
      </c>
      <c r="B78" s="247">
        <v>2558.2999999999997</v>
      </c>
      <c r="C78" s="248">
        <f t="shared" ref="C78:M78" si="147">+C77+C76</f>
        <v>2556.8000000000002</v>
      </c>
      <c r="D78" s="249">
        <f t="shared" si="147"/>
        <v>2612.2999999999997</v>
      </c>
      <c r="E78" s="249">
        <f t="shared" si="147"/>
        <v>2112.1</v>
      </c>
      <c r="F78" s="249">
        <f t="shared" si="147"/>
        <v>2113.5</v>
      </c>
      <c r="G78" s="250">
        <f t="shared" si="137"/>
        <v>2113.5</v>
      </c>
      <c r="H78" s="251">
        <f t="shared" si="147"/>
        <v>2381</v>
      </c>
      <c r="I78" s="249">
        <f t="shared" si="147"/>
        <v>2383.5</v>
      </c>
      <c r="J78" s="249">
        <f t="shared" si="147"/>
        <v>2436.8000000000002</v>
      </c>
      <c r="K78" s="249">
        <f>+K77+K76</f>
        <v>2422.8000000000002</v>
      </c>
      <c r="L78" s="250">
        <f t="shared" si="138"/>
        <v>2422.8000000000002</v>
      </c>
      <c r="M78" s="249">
        <f t="shared" si="147"/>
        <v>2412.1999999999998</v>
      </c>
      <c r="N78" s="250">
        <f>+N76+N77</f>
        <v>2412.1999999999998</v>
      </c>
      <c r="O78" s="251">
        <f>+O77+O76</f>
        <v>2410.5</v>
      </c>
      <c r="P78" s="249">
        <f>+P77+P76</f>
        <v>2450.7000000000003</v>
      </c>
      <c r="Q78" s="249">
        <f>+Q77+Q76</f>
        <v>1995</v>
      </c>
      <c r="R78" s="249">
        <f>+R77+R76</f>
        <v>1956</v>
      </c>
      <c r="S78" s="250">
        <f t="shared" si="139"/>
        <v>1956</v>
      </c>
      <c r="T78" s="251">
        <f>+T77+T76</f>
        <v>2422.4</v>
      </c>
      <c r="U78" s="249">
        <f>+U77+U76</f>
        <v>2484.8000000000002</v>
      </c>
      <c r="V78" s="249">
        <f t="shared" si="140"/>
        <v>2484.8000000000002</v>
      </c>
      <c r="W78" s="249">
        <f>+W77+W76</f>
        <v>2061.6000000000004</v>
      </c>
      <c r="X78" s="249">
        <f>+X77+X76</f>
        <v>2021.3000000000002</v>
      </c>
      <c r="Y78" s="250">
        <f t="shared" si="141"/>
        <v>2021.3000000000002</v>
      </c>
      <c r="Z78" s="251">
        <f>+Z77+Z76</f>
        <v>1505.6000000000001</v>
      </c>
      <c r="AA78" s="249">
        <f>+AA77+AA76</f>
        <v>2267.6999999999998</v>
      </c>
      <c r="AB78" s="249">
        <f t="shared" si="142"/>
        <v>2267.6999999999998</v>
      </c>
      <c r="AC78" s="249">
        <f>+AC77+AC76</f>
        <v>2242.8000000000002</v>
      </c>
      <c r="AD78" s="249">
        <f>+AD77+AD76</f>
        <v>2241.4</v>
      </c>
      <c r="AE78" s="250">
        <f t="shared" si="143"/>
        <v>2241.4</v>
      </c>
      <c r="AF78" s="251">
        <f>+AF77+AF76</f>
        <v>2225</v>
      </c>
      <c r="AG78" s="249">
        <f>+AG77+AG76</f>
        <v>2250.4</v>
      </c>
      <c r="AH78" s="249">
        <f t="shared" si="144"/>
        <v>2250.4</v>
      </c>
      <c r="AI78" s="249">
        <f>+AI77+AI76</f>
        <v>1902.9</v>
      </c>
      <c r="AJ78" s="249">
        <f>+AJ77+AJ76</f>
        <v>1892</v>
      </c>
      <c r="AK78" s="250">
        <f t="shared" si="145"/>
        <v>1892</v>
      </c>
      <c r="AL78" s="252">
        <v>1833.1</v>
      </c>
      <c r="AM78" s="253">
        <v>1218.2</v>
      </c>
      <c r="AN78" s="252">
        <v>1805.5</v>
      </c>
      <c r="AO78" s="253">
        <f>+AO77+AO76</f>
        <v>1726.6999999999998</v>
      </c>
      <c r="AP78" s="252">
        <v>1715.4</v>
      </c>
      <c r="AQ78" s="253">
        <v>1721.6</v>
      </c>
      <c r="AR78" s="252">
        <v>1718.6</v>
      </c>
      <c r="AS78" s="253">
        <v>1719.3</v>
      </c>
      <c r="AT78" s="252">
        <v>2357.8000000000002</v>
      </c>
      <c r="AU78" s="253">
        <v>2846.6</v>
      </c>
      <c r="AV78" s="252">
        <f>SUM(AV76:AV77)</f>
        <v>2855.7</v>
      </c>
      <c r="AW78" s="253">
        <v>2913.6000000000004</v>
      </c>
      <c r="AX78" s="252">
        <f>SUM(AX76:AX77)</f>
        <v>2867.2000000000003</v>
      </c>
      <c r="AY78" s="213">
        <f>AY77+AY76</f>
        <v>2880.7999999999997</v>
      </c>
      <c r="AZ78" s="252">
        <f>SUM(AZ76:AZ77)</f>
        <v>3101.2</v>
      </c>
      <c r="BA78" s="213">
        <v>3463.4</v>
      </c>
      <c r="BB78" s="252">
        <v>3420.5</v>
      </c>
      <c r="BC78" s="252">
        <v>2846.8</v>
      </c>
      <c r="BD78" s="251">
        <v>3424.8</v>
      </c>
      <c r="BE78" s="512"/>
    </row>
    <row r="79" spans="1:58" s="53" customFormat="1">
      <c r="A79" s="228" t="s">
        <v>163</v>
      </c>
      <c r="B79" s="233">
        <f>B75+B78</f>
        <v>4200.8999999999996</v>
      </c>
      <c r="C79" s="234">
        <f t="shared" ref="C79:AU79" si="148">C75+C78</f>
        <v>4318.3999999999996</v>
      </c>
      <c r="D79" s="235">
        <f t="shared" si="148"/>
        <v>4618.6000000000004</v>
      </c>
      <c r="E79" s="235">
        <f t="shared" si="148"/>
        <v>4471.7999999999993</v>
      </c>
      <c r="F79" s="235">
        <f t="shared" si="148"/>
        <v>4149.8999999999996</v>
      </c>
      <c r="G79" s="236">
        <f t="shared" si="148"/>
        <v>4149.8999999999996</v>
      </c>
      <c r="H79" s="237">
        <f t="shared" si="148"/>
        <v>4440.6000000000004</v>
      </c>
      <c r="I79" s="235">
        <f t="shared" si="148"/>
        <v>4894.6000000000004</v>
      </c>
      <c r="J79" s="235">
        <f t="shared" si="148"/>
        <v>4608.6000000000004</v>
      </c>
      <c r="K79" s="235">
        <f t="shared" si="148"/>
        <v>4344.2000000000007</v>
      </c>
      <c r="L79" s="236">
        <f t="shared" si="148"/>
        <v>4344.2000000000007</v>
      </c>
      <c r="M79" s="235">
        <f t="shared" si="148"/>
        <v>4323.2999999999993</v>
      </c>
      <c r="N79" s="236">
        <f t="shared" si="148"/>
        <v>4323.2999999999993</v>
      </c>
      <c r="O79" s="237">
        <f t="shared" si="148"/>
        <v>4365.7</v>
      </c>
      <c r="P79" s="235">
        <f t="shared" si="148"/>
        <v>4723.7000000000007</v>
      </c>
      <c r="Q79" s="235">
        <f t="shared" si="148"/>
        <v>4409.8</v>
      </c>
      <c r="R79" s="235">
        <f t="shared" si="148"/>
        <v>4194.3</v>
      </c>
      <c r="S79" s="236">
        <f t="shared" si="148"/>
        <v>4194.3</v>
      </c>
      <c r="T79" s="237">
        <f t="shared" si="148"/>
        <v>4363.3</v>
      </c>
      <c r="U79" s="235">
        <f t="shared" si="148"/>
        <v>4738.5</v>
      </c>
      <c r="V79" s="235">
        <f t="shared" si="148"/>
        <v>4738.5</v>
      </c>
      <c r="W79" s="235">
        <f t="shared" si="148"/>
        <v>4454.6000000000004</v>
      </c>
      <c r="X79" s="235">
        <f t="shared" si="148"/>
        <v>4243.6000000000004</v>
      </c>
      <c r="Y79" s="236">
        <f t="shared" si="148"/>
        <v>4243.6000000000004</v>
      </c>
      <c r="Z79" s="237">
        <f t="shared" si="148"/>
        <v>4265.5</v>
      </c>
      <c r="AA79" s="235">
        <f t="shared" si="148"/>
        <v>5181.2</v>
      </c>
      <c r="AB79" s="235">
        <f t="shared" si="148"/>
        <v>5181.2</v>
      </c>
      <c r="AC79" s="235">
        <f t="shared" si="148"/>
        <v>4385.6000000000004</v>
      </c>
      <c r="AD79" s="235">
        <f t="shared" si="148"/>
        <v>4307.5</v>
      </c>
      <c r="AE79" s="236">
        <f t="shared" si="148"/>
        <v>4307.5</v>
      </c>
      <c r="AF79" s="237">
        <f t="shared" si="148"/>
        <v>4001.7</v>
      </c>
      <c r="AG79" s="235">
        <f t="shared" si="148"/>
        <v>4460.5</v>
      </c>
      <c r="AH79" s="235">
        <f t="shared" si="148"/>
        <v>4460.5</v>
      </c>
      <c r="AI79" s="235">
        <f t="shared" si="148"/>
        <v>4244.1000000000004</v>
      </c>
      <c r="AJ79" s="235">
        <f t="shared" si="148"/>
        <v>4087.9</v>
      </c>
      <c r="AK79" s="236">
        <f t="shared" si="148"/>
        <v>4087.9</v>
      </c>
      <c r="AL79" s="238">
        <f t="shared" si="148"/>
        <v>4401.1000000000004</v>
      </c>
      <c r="AM79" s="239">
        <f t="shared" si="148"/>
        <v>3709.1000000000004</v>
      </c>
      <c r="AN79" s="238">
        <f t="shared" si="148"/>
        <v>4418.8999999999996</v>
      </c>
      <c r="AO79" s="239">
        <f t="shared" si="148"/>
        <v>3694.7999999999997</v>
      </c>
      <c r="AP79" s="238">
        <f t="shared" si="148"/>
        <v>3935.6</v>
      </c>
      <c r="AQ79" s="239">
        <f t="shared" si="148"/>
        <v>3618</v>
      </c>
      <c r="AR79" s="238">
        <f t="shared" si="148"/>
        <v>4152</v>
      </c>
      <c r="AS79" s="239">
        <f t="shared" si="148"/>
        <v>3737.8999999999996</v>
      </c>
      <c r="AT79" s="238">
        <f t="shared" si="148"/>
        <v>6240.8</v>
      </c>
      <c r="AU79" s="239">
        <f t="shared" si="148"/>
        <v>5513.7999999999993</v>
      </c>
      <c r="AV79" s="238">
        <f t="shared" ref="AV79:AY79" si="149">AV75+AV78</f>
        <v>5322.9</v>
      </c>
      <c r="AW79" s="239">
        <v>4939.8</v>
      </c>
      <c r="AX79" s="238">
        <f t="shared" si="149"/>
        <v>5690.9</v>
      </c>
      <c r="AY79" s="239">
        <f t="shared" si="149"/>
        <v>5397.1999999999989</v>
      </c>
      <c r="AZ79" s="238">
        <f t="shared" ref="AZ79" si="150">AZ75+AZ78</f>
        <v>7116.0999999999995</v>
      </c>
      <c r="BA79" s="239">
        <v>6470.1</v>
      </c>
      <c r="BB79" s="238">
        <v>6875.3</v>
      </c>
      <c r="BC79" s="238">
        <v>6694.1</v>
      </c>
      <c r="BD79" s="237">
        <v>7818.4</v>
      </c>
      <c r="BE79" s="511"/>
    </row>
    <row r="80" spans="1:58" s="53" customFormat="1" ht="5.15" customHeight="1">
      <c r="A80" s="226"/>
      <c r="B80" s="247"/>
      <c r="C80" s="248"/>
      <c r="D80" s="249"/>
      <c r="E80" s="249"/>
      <c r="F80" s="249"/>
      <c r="G80" s="250"/>
      <c r="H80" s="251"/>
      <c r="I80" s="249"/>
      <c r="J80" s="249"/>
      <c r="K80" s="249"/>
      <c r="L80" s="250"/>
      <c r="M80" s="249"/>
      <c r="N80" s="250"/>
      <c r="O80" s="251"/>
      <c r="P80" s="249"/>
      <c r="Q80" s="249"/>
      <c r="R80" s="249"/>
      <c r="S80" s="250"/>
      <c r="T80" s="251"/>
      <c r="U80" s="249"/>
      <c r="V80" s="249"/>
      <c r="W80" s="249"/>
      <c r="X80" s="249"/>
      <c r="Y80" s="250"/>
      <c r="Z80" s="251"/>
      <c r="AA80" s="249"/>
      <c r="AB80" s="249"/>
      <c r="AC80" s="249"/>
      <c r="AD80" s="249"/>
      <c r="AE80" s="250"/>
      <c r="AF80" s="251"/>
      <c r="AG80" s="249"/>
      <c r="AH80" s="249"/>
      <c r="AI80" s="249"/>
      <c r="AJ80" s="249"/>
      <c r="AK80" s="250"/>
      <c r="AL80" s="252"/>
      <c r="AM80" s="253"/>
      <c r="AN80" s="252"/>
      <c r="AO80" s="253"/>
      <c r="AP80" s="252"/>
      <c r="AQ80" s="253"/>
      <c r="AR80" s="252"/>
      <c r="AS80" s="253"/>
      <c r="AT80" s="252"/>
      <c r="AU80" s="253"/>
      <c r="AV80" s="252"/>
      <c r="AW80" s="253"/>
      <c r="AX80" s="252"/>
      <c r="AY80" s="253"/>
      <c r="AZ80" s="252"/>
      <c r="BA80" s="253"/>
      <c r="BB80" s="252"/>
      <c r="BC80" s="252"/>
      <c r="BD80" s="251"/>
      <c r="BE80" s="512"/>
    </row>
    <row r="81" spans="1:58" s="53" customFormat="1">
      <c r="A81" s="228" t="s">
        <v>54</v>
      </c>
      <c r="B81" s="233">
        <v>2595.9</v>
      </c>
      <c r="C81" s="234">
        <v>2771</v>
      </c>
      <c r="D81" s="235">
        <v>2920.3</v>
      </c>
      <c r="E81" s="235">
        <v>3011.9</v>
      </c>
      <c r="F81" s="235">
        <v>3060.8</v>
      </c>
      <c r="G81" s="236">
        <f>F81</f>
        <v>3060.8</v>
      </c>
      <c r="H81" s="237">
        <v>3030.4</v>
      </c>
      <c r="I81" s="235">
        <v>2988.2</v>
      </c>
      <c r="J81" s="235">
        <v>2926.9</v>
      </c>
      <c r="K81" s="235">
        <v>2913.19</v>
      </c>
      <c r="L81" s="236">
        <f>K81</f>
        <v>2913.19</v>
      </c>
      <c r="M81" s="235">
        <v>2920.2</v>
      </c>
      <c r="N81" s="236">
        <f>M81</f>
        <v>2920.2</v>
      </c>
      <c r="O81" s="237">
        <v>2926.9</v>
      </c>
      <c r="P81" s="235">
        <v>2900.5</v>
      </c>
      <c r="Q81" s="235">
        <v>3043</v>
      </c>
      <c r="R81" s="235">
        <v>2998.9</v>
      </c>
      <c r="S81" s="236">
        <f>R81</f>
        <v>2998.9</v>
      </c>
      <c r="T81" s="237">
        <v>2933.8100000000004</v>
      </c>
      <c r="U81" s="235">
        <v>2906</v>
      </c>
      <c r="V81" s="235">
        <f t="shared" si="140"/>
        <v>2906</v>
      </c>
      <c r="W81" s="235">
        <v>3049.8999999999996</v>
      </c>
      <c r="X81" s="235">
        <v>3006.5000000000005</v>
      </c>
      <c r="Y81" s="236">
        <f>X81</f>
        <v>3006.5000000000005</v>
      </c>
      <c r="Z81" s="237">
        <v>2984</v>
      </c>
      <c r="AA81" s="235">
        <v>2864.5</v>
      </c>
      <c r="AB81" s="235">
        <f t="shared" si="142"/>
        <v>2864.5</v>
      </c>
      <c r="AC81" s="235">
        <v>3004</v>
      </c>
      <c r="AD81" s="235">
        <v>2967.3</v>
      </c>
      <c r="AE81" s="236">
        <f>AD81</f>
        <v>2967.3</v>
      </c>
      <c r="AF81" s="237">
        <v>2832.7000000000003</v>
      </c>
      <c r="AG81" s="235">
        <v>2873.2000000000003</v>
      </c>
      <c r="AH81" s="235">
        <f t="shared" si="144"/>
        <v>2873.2000000000003</v>
      </c>
      <c r="AI81" s="235">
        <v>2978.9</v>
      </c>
      <c r="AJ81" s="235">
        <v>2791.1</v>
      </c>
      <c r="AK81" s="236">
        <f>AJ81</f>
        <v>2791.1</v>
      </c>
      <c r="AL81" s="238">
        <v>2903.7000000000003</v>
      </c>
      <c r="AM81" s="239">
        <v>2824.1</v>
      </c>
      <c r="AN81" s="238">
        <v>2554.9</v>
      </c>
      <c r="AO81" s="239">
        <v>2870.1</v>
      </c>
      <c r="AP81" s="238">
        <v>2793.7</v>
      </c>
      <c r="AQ81" s="239">
        <v>3012.2</v>
      </c>
      <c r="AR81" s="238">
        <v>3024.3</v>
      </c>
      <c r="AS81" s="239">
        <v>3116.4</v>
      </c>
      <c r="AT81" s="238">
        <v>2350.8000000000002</v>
      </c>
      <c r="AU81" s="239">
        <v>2700.2</v>
      </c>
      <c r="AV81" s="238">
        <v>2457.1</v>
      </c>
      <c r="AW81" s="239">
        <v>2633.3</v>
      </c>
      <c r="AX81" s="238">
        <v>2716</v>
      </c>
      <c r="AY81" s="239">
        <v>3117.1</v>
      </c>
      <c r="AZ81" s="238">
        <v>3294.7</v>
      </c>
      <c r="BA81" s="239">
        <v>3385.6000000000004</v>
      </c>
      <c r="BB81" s="238">
        <v>3100.9</v>
      </c>
      <c r="BC81" s="238">
        <v>3186.7</v>
      </c>
      <c r="BD81" s="237">
        <v>3001.1</v>
      </c>
      <c r="BE81" s="511"/>
    </row>
    <row r="82" spans="1:58" s="53" customFormat="1" ht="5.15" customHeight="1">
      <c r="A82" s="226"/>
      <c r="B82" s="247"/>
      <c r="C82" s="248"/>
      <c r="D82" s="249"/>
      <c r="E82" s="249"/>
      <c r="F82" s="249"/>
      <c r="G82" s="250"/>
      <c r="H82" s="251"/>
      <c r="I82" s="249"/>
      <c r="J82" s="249"/>
      <c r="K82" s="249"/>
      <c r="L82" s="250"/>
      <c r="M82" s="249"/>
      <c r="N82" s="250"/>
      <c r="O82" s="251"/>
      <c r="P82" s="249"/>
      <c r="Q82" s="249"/>
      <c r="R82" s="249"/>
      <c r="S82" s="250"/>
      <c r="T82" s="251"/>
      <c r="U82" s="249"/>
      <c r="V82" s="249"/>
      <c r="W82" s="249"/>
      <c r="X82" s="249"/>
      <c r="Y82" s="250"/>
      <c r="Z82" s="251"/>
      <c r="AA82" s="249"/>
      <c r="AB82" s="249"/>
      <c r="AC82" s="249"/>
      <c r="AD82" s="249"/>
      <c r="AE82" s="250"/>
      <c r="AF82" s="251"/>
      <c r="AG82" s="249"/>
      <c r="AH82" s="249"/>
      <c r="AI82" s="249"/>
      <c r="AJ82" s="249"/>
      <c r="AK82" s="250"/>
      <c r="AL82" s="252"/>
      <c r="AM82" s="253"/>
      <c r="AN82" s="252"/>
      <c r="AO82" s="253"/>
      <c r="AP82" s="252"/>
      <c r="AQ82" s="253"/>
      <c r="AR82" s="252"/>
      <c r="AS82" s="253"/>
      <c r="AT82" s="252"/>
      <c r="AU82" s="253"/>
      <c r="AV82" s="252"/>
      <c r="AW82" s="253"/>
      <c r="AX82" s="252"/>
      <c r="AY82" s="253"/>
      <c r="AZ82" s="252"/>
      <c r="BA82" s="253"/>
      <c r="BB82" s="252"/>
      <c r="BC82" s="252"/>
      <c r="BD82" s="251"/>
      <c r="BE82" s="512"/>
    </row>
    <row r="83" spans="1:58" s="53" customFormat="1" ht="14.5" thickBot="1">
      <c r="A83" s="229" t="s">
        <v>55</v>
      </c>
      <c r="B83" s="240">
        <v>6796.7999999999993</v>
      </c>
      <c r="C83" s="241">
        <f>+C81+C78+C75</f>
        <v>7089.4</v>
      </c>
      <c r="D83" s="242">
        <f>+D81+D78+D75</f>
        <v>7538.9000000000005</v>
      </c>
      <c r="E83" s="242">
        <f>+E81+E78+E75</f>
        <v>7483.7</v>
      </c>
      <c r="F83" s="242">
        <f>+F81+F78+F75</f>
        <v>7210.7000000000007</v>
      </c>
      <c r="G83" s="243">
        <f>F83</f>
        <v>7210.7000000000007</v>
      </c>
      <c r="H83" s="244">
        <f>+H81+H78+H75</f>
        <v>7471</v>
      </c>
      <c r="I83" s="242">
        <f>+I81+I78+I75</f>
        <v>7882.8</v>
      </c>
      <c r="J83" s="242">
        <f>+J81+J78+J75</f>
        <v>7535.5000000000009</v>
      </c>
      <c r="K83" s="242">
        <f>+K81+K78+K75</f>
        <v>7257.3899999999994</v>
      </c>
      <c r="L83" s="243">
        <f>K83</f>
        <v>7257.3899999999994</v>
      </c>
      <c r="M83" s="242">
        <f>+M81+M78+M75</f>
        <v>7243.5</v>
      </c>
      <c r="N83" s="243">
        <f>+N81+N78+N75</f>
        <v>7243.5</v>
      </c>
      <c r="O83" s="244">
        <f>+O81+O78+O75</f>
        <v>7292.5999999999995</v>
      </c>
      <c r="P83" s="242">
        <f>+P81+P78+P75</f>
        <v>7624.2000000000007</v>
      </c>
      <c r="Q83" s="242">
        <f>+Q81+Q78+Q75</f>
        <v>7452.8</v>
      </c>
      <c r="R83" s="242">
        <v>7193.2</v>
      </c>
      <c r="S83" s="243">
        <f>R83</f>
        <v>7193.2</v>
      </c>
      <c r="T83" s="244">
        <f>+T81+T78+T75</f>
        <v>7297.1100000000006</v>
      </c>
      <c r="U83" s="242">
        <f>+U81+U78+U75</f>
        <v>7644.5</v>
      </c>
      <c r="V83" s="242">
        <f t="shared" si="140"/>
        <v>7644.5</v>
      </c>
      <c r="W83" s="242">
        <f>+W81+W78+W75</f>
        <v>7504.5</v>
      </c>
      <c r="X83" s="242">
        <f>+X81+X78+X75</f>
        <v>7250.1000000000013</v>
      </c>
      <c r="Y83" s="243">
        <f>X83</f>
        <v>7250.1000000000013</v>
      </c>
      <c r="Z83" s="244">
        <f>+Z81+Z78+Z75</f>
        <v>7249.5</v>
      </c>
      <c r="AA83" s="242">
        <f>+AA81+AA78+AA75</f>
        <v>8045.7</v>
      </c>
      <c r="AB83" s="242">
        <f t="shared" si="142"/>
        <v>8045.7</v>
      </c>
      <c r="AC83" s="242">
        <f>+AC81+AC78+AC75</f>
        <v>7389.6</v>
      </c>
      <c r="AD83" s="242">
        <f>+AD81+AD78+AD75</f>
        <v>7274.8000000000011</v>
      </c>
      <c r="AE83" s="243">
        <f>AD83</f>
        <v>7274.8000000000011</v>
      </c>
      <c r="AF83" s="244">
        <f>+AF81+AF78+AF75</f>
        <v>6834.4000000000005</v>
      </c>
      <c r="AG83" s="242">
        <f>+AG81+AG78+AG75</f>
        <v>7333.7000000000007</v>
      </c>
      <c r="AH83" s="242">
        <f t="shared" si="144"/>
        <v>7333.7000000000007</v>
      </c>
      <c r="AI83" s="242">
        <f>+AI81+AI78+AI75</f>
        <v>7223</v>
      </c>
      <c r="AJ83" s="242">
        <f>+AJ81+AJ78+AJ75</f>
        <v>6879</v>
      </c>
      <c r="AK83" s="243">
        <f>AJ83</f>
        <v>6879</v>
      </c>
      <c r="AL83" s="245">
        <v>7304.8</v>
      </c>
      <c r="AM83" s="246">
        <f>+AM81+AM78+AM75</f>
        <v>6533.2000000000007</v>
      </c>
      <c r="AN83" s="245">
        <v>6973.8</v>
      </c>
      <c r="AO83" s="246">
        <f>+AO81+AO78+AO75</f>
        <v>6564.9</v>
      </c>
      <c r="AP83" s="245">
        <v>6729.3</v>
      </c>
      <c r="AQ83" s="246">
        <v>6630.2</v>
      </c>
      <c r="AR83" s="245">
        <v>7176.3</v>
      </c>
      <c r="AS83" s="246">
        <v>6854.3</v>
      </c>
      <c r="AT83" s="245">
        <v>8591.6</v>
      </c>
      <c r="AU83" s="246">
        <v>8214</v>
      </c>
      <c r="AV83" s="245">
        <f>+AV79+AV81</f>
        <v>7780</v>
      </c>
      <c r="AW83" s="246">
        <v>7573.1</v>
      </c>
      <c r="AX83" s="245">
        <f>+AX79+AX81</f>
        <v>8406.9</v>
      </c>
      <c r="AY83" s="246">
        <f>AY81+AY79</f>
        <v>8514.2999999999993</v>
      </c>
      <c r="AZ83" s="245">
        <f>+AZ79+AZ81</f>
        <v>10410.799999999999</v>
      </c>
      <c r="BA83" s="246">
        <v>9855.7000000000007</v>
      </c>
      <c r="BB83" s="245">
        <v>9976.2000000000007</v>
      </c>
      <c r="BC83" s="504">
        <v>9880.7999999999993</v>
      </c>
      <c r="BD83" s="244">
        <v>10819.5</v>
      </c>
      <c r="BE83" s="513"/>
    </row>
    <row r="84" spans="1:58" ht="14.5" thickBot="1">
      <c r="A84" s="167"/>
      <c r="B84" s="203"/>
      <c r="C84" s="203"/>
      <c r="D84" s="203"/>
      <c r="E84" s="203"/>
      <c r="F84" s="203"/>
      <c r="G84" s="203"/>
      <c r="H84" s="203"/>
      <c r="I84" s="203"/>
      <c r="J84" s="203"/>
      <c r="K84" s="203"/>
      <c r="L84" s="203"/>
      <c r="M84" s="203"/>
      <c r="N84" s="203"/>
      <c r="O84" s="203"/>
      <c r="P84" s="203"/>
      <c r="Q84" s="203"/>
      <c r="R84" s="203"/>
      <c r="S84" s="203"/>
      <c r="T84" s="203"/>
      <c r="U84" s="203"/>
      <c r="V84" s="203"/>
      <c r="W84" s="203"/>
      <c r="X84" s="203"/>
      <c r="Y84" s="203"/>
      <c r="Z84" s="203"/>
      <c r="AA84" s="203"/>
      <c r="AB84" s="203"/>
      <c r="AC84" s="203"/>
      <c r="AD84" s="203"/>
      <c r="AE84" s="203"/>
      <c r="AF84" s="203"/>
      <c r="AG84" s="203"/>
      <c r="AH84" s="203"/>
      <c r="AI84" s="203"/>
      <c r="AJ84" s="203"/>
      <c r="AK84" s="203"/>
      <c r="AL84" s="203"/>
      <c r="AM84" s="203"/>
      <c r="AN84" s="203"/>
      <c r="AO84" s="203"/>
      <c r="AP84" s="203"/>
      <c r="AQ84" s="203"/>
      <c r="AR84" s="203"/>
      <c r="AS84" s="203"/>
      <c r="AT84" s="203"/>
      <c r="AU84" s="203"/>
      <c r="AV84" s="203"/>
      <c r="AW84" s="203"/>
      <c r="AX84" s="203"/>
      <c r="AY84" s="203"/>
      <c r="BF84" s="53"/>
    </row>
    <row r="85" spans="1:58" s="200" customFormat="1" ht="20">
      <c r="A85" s="262" t="s">
        <v>56</v>
      </c>
      <c r="B85" s="210">
        <v>2009</v>
      </c>
      <c r="C85" s="194">
        <v>2010</v>
      </c>
      <c r="D85" s="177"/>
      <c r="E85" s="177"/>
      <c r="F85" s="177"/>
      <c r="G85" s="178"/>
      <c r="H85" s="194">
        <v>2011</v>
      </c>
      <c r="I85" s="177"/>
      <c r="J85" s="177"/>
      <c r="K85" s="177"/>
      <c r="L85" s="177"/>
      <c r="M85" s="177"/>
      <c r="N85" s="178"/>
      <c r="O85" s="269">
        <v>2012</v>
      </c>
      <c r="P85" s="177"/>
      <c r="Q85" s="177"/>
      <c r="R85" s="177"/>
      <c r="S85" s="178"/>
      <c r="T85" s="194" t="str">
        <f>T62</f>
        <v>2012*</v>
      </c>
      <c r="U85" s="177"/>
      <c r="V85" s="177"/>
      <c r="W85" s="177"/>
      <c r="X85" s="177"/>
      <c r="Y85" s="178"/>
      <c r="Z85" s="194" t="s">
        <v>68</v>
      </c>
      <c r="AA85" s="177"/>
      <c r="AB85" s="177"/>
      <c r="AC85" s="177"/>
      <c r="AD85" s="177"/>
      <c r="AE85" s="178"/>
      <c r="AF85" s="194">
        <f>AF4</f>
        <v>2014</v>
      </c>
      <c r="AG85" s="177"/>
      <c r="AH85" s="177"/>
      <c r="AI85" s="177"/>
      <c r="AJ85" s="177"/>
      <c r="AK85" s="178"/>
      <c r="AL85" s="194">
        <f>AL4</f>
        <v>2015</v>
      </c>
      <c r="AM85" s="178"/>
      <c r="AN85" s="194">
        <v>2016</v>
      </c>
      <c r="AO85" s="178"/>
      <c r="AP85" s="194">
        <v>2017</v>
      </c>
      <c r="AQ85" s="178"/>
      <c r="AR85" s="194">
        <v>2018</v>
      </c>
      <c r="AS85" s="178"/>
      <c r="AT85" s="194">
        <v>2019</v>
      </c>
      <c r="AU85" s="178"/>
      <c r="AV85" s="194">
        <v>2020</v>
      </c>
      <c r="AW85" s="178"/>
      <c r="AX85" s="194">
        <v>2021</v>
      </c>
      <c r="AY85" s="178"/>
      <c r="AZ85" s="194">
        <v>2022</v>
      </c>
      <c r="BA85" s="178"/>
      <c r="BB85" s="194">
        <v>2023</v>
      </c>
      <c r="BC85" s="178"/>
      <c r="BD85" s="194">
        <v>2024</v>
      </c>
      <c r="BE85" s="178"/>
      <c r="BF85" s="53"/>
    </row>
    <row r="86" spans="1:58" s="201" customFormat="1" ht="18.75" customHeight="1" thickBot="1">
      <c r="A86" s="263" t="s">
        <v>161</v>
      </c>
      <c r="B86" s="211" t="s">
        <v>69</v>
      </c>
      <c r="C86" s="212" t="s">
        <v>70</v>
      </c>
      <c r="D86" s="205" t="s">
        <v>71</v>
      </c>
      <c r="E86" s="205" t="s">
        <v>72</v>
      </c>
      <c r="F86" s="205" t="s">
        <v>73</v>
      </c>
      <c r="G86" s="207" t="s">
        <v>74</v>
      </c>
      <c r="H86" s="206" t="s">
        <v>70</v>
      </c>
      <c r="I86" s="205" t="s">
        <v>71</v>
      </c>
      <c r="J86" s="205" t="s">
        <v>72</v>
      </c>
      <c r="K86" s="205" t="s">
        <v>73</v>
      </c>
      <c r="L86" s="207" t="s">
        <v>75</v>
      </c>
      <c r="M86" s="205" t="s">
        <v>73</v>
      </c>
      <c r="N86" s="207" t="s">
        <v>77</v>
      </c>
      <c r="O86" s="206" t="s">
        <v>70</v>
      </c>
      <c r="P86" s="205" t="s">
        <v>71</v>
      </c>
      <c r="Q86" s="205" t="s">
        <v>72</v>
      </c>
      <c r="R86" s="205" t="s">
        <v>73</v>
      </c>
      <c r="S86" s="207" t="s">
        <v>78</v>
      </c>
      <c r="T86" s="206" t="s">
        <v>79</v>
      </c>
      <c r="U86" s="205" t="s">
        <v>80</v>
      </c>
      <c r="V86" s="205" t="s">
        <v>112</v>
      </c>
      <c r="W86" s="205" t="s">
        <v>81</v>
      </c>
      <c r="X86" s="205" t="s">
        <v>76</v>
      </c>
      <c r="Y86" s="207" t="s">
        <v>82</v>
      </c>
      <c r="Z86" s="206" t="s">
        <v>79</v>
      </c>
      <c r="AA86" s="205" t="s">
        <v>80</v>
      </c>
      <c r="AB86" s="205" t="s">
        <v>112</v>
      </c>
      <c r="AC86" s="205" t="s">
        <v>81</v>
      </c>
      <c r="AD86" s="205" t="s">
        <v>76</v>
      </c>
      <c r="AE86" s="207" t="s">
        <v>108</v>
      </c>
      <c r="AF86" s="206" t="s">
        <v>70</v>
      </c>
      <c r="AG86" s="205" t="s">
        <v>71</v>
      </c>
      <c r="AH86" s="205" t="s">
        <v>111</v>
      </c>
      <c r="AI86" s="205" t="s">
        <v>72</v>
      </c>
      <c r="AJ86" s="205" t="s">
        <v>73</v>
      </c>
      <c r="AK86" s="207" t="s">
        <v>123</v>
      </c>
      <c r="AL86" s="208" t="s">
        <v>111</v>
      </c>
      <c r="AM86" s="215" t="s">
        <v>120</v>
      </c>
      <c r="AN86" s="208" t="s">
        <v>111</v>
      </c>
      <c r="AO86" s="215" t="s">
        <v>120</v>
      </c>
      <c r="AP86" s="208" t="s">
        <v>111</v>
      </c>
      <c r="AQ86" s="215" t="s">
        <v>120</v>
      </c>
      <c r="AR86" s="208" t="s">
        <v>111</v>
      </c>
      <c r="AS86" s="215" t="s">
        <v>120</v>
      </c>
      <c r="AT86" s="208" t="s">
        <v>111</v>
      </c>
      <c r="AU86" s="215" t="s">
        <v>120</v>
      </c>
      <c r="AV86" s="208" t="s">
        <v>111</v>
      </c>
      <c r="AW86" s="215" t="s">
        <v>120</v>
      </c>
      <c r="AX86" s="208" t="s">
        <v>111</v>
      </c>
      <c r="AY86" s="215" t="s">
        <v>120</v>
      </c>
      <c r="AZ86" s="208" t="s">
        <v>111</v>
      </c>
      <c r="BA86" s="215" t="s">
        <v>120</v>
      </c>
      <c r="BB86" s="208" t="s">
        <v>111</v>
      </c>
      <c r="BC86" s="215" t="s">
        <v>120</v>
      </c>
      <c r="BD86" s="208" t="s">
        <v>111</v>
      </c>
      <c r="BE86" s="215"/>
      <c r="BF86" s="53"/>
    </row>
    <row r="87" spans="1:58" s="53" customFormat="1">
      <c r="A87" s="264" t="s">
        <v>97</v>
      </c>
      <c r="B87" s="233">
        <v>1019.3</v>
      </c>
      <c r="C87" s="234">
        <v>145.1</v>
      </c>
      <c r="D87" s="235">
        <v>364.1</v>
      </c>
      <c r="E87" s="235">
        <v>382.1</v>
      </c>
      <c r="F87" s="235">
        <v>160.19999999999999</v>
      </c>
      <c r="G87" s="236">
        <f>SUM(C87:F87)</f>
        <v>1051.5</v>
      </c>
      <c r="H87" s="237">
        <v>113.1</v>
      </c>
      <c r="I87" s="235">
        <v>311.89999999999998</v>
      </c>
      <c r="J87" s="235">
        <v>307.10000000000002</v>
      </c>
      <c r="K87" s="235">
        <v>144.60000000000019</v>
      </c>
      <c r="L87" s="236">
        <f>SUM(H87:K87)</f>
        <v>876.70000000000027</v>
      </c>
      <c r="M87" s="235">
        <v>141</v>
      </c>
      <c r="N87" s="236">
        <v>852.20000000000061</v>
      </c>
      <c r="O87" s="237">
        <v>82.6</v>
      </c>
      <c r="P87" s="235">
        <v>285</v>
      </c>
      <c r="Q87" s="235">
        <v>307.89999999999998</v>
      </c>
      <c r="R87" s="235">
        <f>R24</f>
        <v>100.70000000000007</v>
      </c>
      <c r="S87" s="236">
        <f>SUM(O87:R87)</f>
        <v>776.2</v>
      </c>
      <c r="T87" s="237">
        <v>81.700000000000088</v>
      </c>
      <c r="U87" s="235">
        <v>277.49999999999977</v>
      </c>
      <c r="V87" s="235">
        <f>U87+T87</f>
        <v>359.19999999999987</v>
      </c>
      <c r="W87" s="235">
        <v>298.00000000000011</v>
      </c>
      <c r="X87" s="235">
        <v>100.4</v>
      </c>
      <c r="Y87" s="236">
        <v>757.59999999999877</v>
      </c>
      <c r="Z87" s="237">
        <v>83.300000000000097</v>
      </c>
      <c r="AA87" s="235">
        <v>244.5999999999994</v>
      </c>
      <c r="AB87" s="235">
        <f>AA87+Z87</f>
        <v>327.89999999999952</v>
      </c>
      <c r="AC87" s="235">
        <v>295.80000000000035</v>
      </c>
      <c r="AD87" s="235">
        <f>AD24</f>
        <v>132.39999999999998</v>
      </c>
      <c r="AE87" s="236">
        <f>AE24</f>
        <v>756.1</v>
      </c>
      <c r="AF87" s="237">
        <v>64.799999999999898</v>
      </c>
      <c r="AG87" s="235">
        <v>282.89999999999998</v>
      </c>
      <c r="AH87" s="235">
        <f>AG87+AF87</f>
        <v>347.69999999999987</v>
      </c>
      <c r="AI87" s="235">
        <v>264.99999999999977</v>
      </c>
      <c r="AJ87" s="235">
        <f>AJ24</f>
        <v>129.39999999999998</v>
      </c>
      <c r="AK87" s="236">
        <f>AK24</f>
        <v>742.1</v>
      </c>
      <c r="AL87" s="238">
        <v>369.50000000000017</v>
      </c>
      <c r="AM87" s="239">
        <f>AM24</f>
        <v>766.3</v>
      </c>
      <c r="AN87" s="238">
        <v>395.7</v>
      </c>
      <c r="AO87" s="239">
        <f>AO24</f>
        <v>845.9</v>
      </c>
      <c r="AP87" s="238">
        <v>423.2</v>
      </c>
      <c r="AQ87" s="239">
        <v>927.5</v>
      </c>
      <c r="AR87" s="238">
        <v>465.9</v>
      </c>
      <c r="AS87" s="239">
        <v>968.7</v>
      </c>
      <c r="AT87" s="238">
        <v>479.4</v>
      </c>
      <c r="AU87" s="239">
        <v>1110.7</v>
      </c>
      <c r="AV87" s="238">
        <v>399.8</v>
      </c>
      <c r="AW87" s="239">
        <v>1059.2</v>
      </c>
      <c r="AX87" s="238">
        <v>514.70000000000005</v>
      </c>
      <c r="AY87" s="239">
        <v>1151.5</v>
      </c>
      <c r="AZ87" s="238">
        <v>663.79999999999961</v>
      </c>
      <c r="BA87" s="239">
        <v>1343.6</v>
      </c>
      <c r="BB87" s="238">
        <v>765.6</v>
      </c>
      <c r="BC87" s="238">
        <v>1487.8</v>
      </c>
      <c r="BD87" s="238">
        <v>760.6</v>
      </c>
      <c r="BE87" s="511"/>
    </row>
    <row r="88" spans="1:58">
      <c r="A88" s="265" t="s">
        <v>166</v>
      </c>
      <c r="B88" s="261"/>
      <c r="C88" s="267"/>
      <c r="D88" s="230"/>
      <c r="E88" s="230"/>
      <c r="F88" s="231"/>
      <c r="G88" s="268"/>
      <c r="H88" s="267"/>
      <c r="I88" s="230"/>
      <c r="J88" s="230"/>
      <c r="K88" s="231"/>
      <c r="L88" s="232"/>
      <c r="M88" s="231"/>
      <c r="N88" s="268"/>
      <c r="O88" s="267"/>
      <c r="P88" s="230"/>
      <c r="Q88" s="230"/>
      <c r="R88" s="231"/>
      <c r="S88" s="268"/>
      <c r="T88" s="267"/>
      <c r="U88" s="230"/>
      <c r="V88" s="230"/>
      <c r="W88" s="230"/>
      <c r="X88" s="231"/>
      <c r="Y88" s="268"/>
      <c r="Z88" s="267"/>
      <c r="AA88" s="230"/>
      <c r="AB88" s="230"/>
      <c r="AC88" s="230"/>
      <c r="AD88" s="231"/>
      <c r="AE88" s="268"/>
      <c r="AF88" s="267"/>
      <c r="AG88" s="230"/>
      <c r="AH88" s="230"/>
      <c r="AI88" s="230"/>
      <c r="AJ88" s="231"/>
      <c r="AK88" s="268"/>
      <c r="AL88" s="272"/>
      <c r="AM88" s="268"/>
      <c r="AN88" s="272"/>
      <c r="AO88" s="268"/>
      <c r="AP88" s="272"/>
      <c r="AQ88" s="268"/>
      <c r="AR88" s="272"/>
      <c r="AS88" s="268"/>
      <c r="AT88" s="272"/>
      <c r="AU88" s="268"/>
      <c r="AV88" s="272">
        <v>-4.5999999999999996</v>
      </c>
      <c r="AW88" s="268">
        <v>-21.4</v>
      </c>
      <c r="AX88" s="272">
        <v>-14.1</v>
      </c>
      <c r="AY88" s="268">
        <v>195.8</v>
      </c>
      <c r="AZ88" s="272">
        <v>-24.4</v>
      </c>
      <c r="BA88" s="268">
        <v>126.80000000000007</v>
      </c>
      <c r="BB88" s="272">
        <v>-4.0999999999999996</v>
      </c>
      <c r="BC88" s="272">
        <v>135.69999999999999</v>
      </c>
      <c r="BD88" s="272">
        <v>-6.7</v>
      </c>
      <c r="BE88" s="261"/>
      <c r="BF88" s="53"/>
    </row>
    <row r="89" spans="1:58">
      <c r="A89" s="265" t="s">
        <v>57</v>
      </c>
      <c r="B89" s="261">
        <v>56.7</v>
      </c>
      <c r="C89" s="267">
        <v>14.9</v>
      </c>
      <c r="D89" s="230">
        <v>-48.2</v>
      </c>
      <c r="E89" s="230">
        <v>128.69999999999999</v>
      </c>
      <c r="F89" s="231">
        <v>-31.3</v>
      </c>
      <c r="G89" s="268">
        <f>SUM(C89:F89)</f>
        <v>64.09999999999998</v>
      </c>
      <c r="H89" s="267">
        <v>-85.9</v>
      </c>
      <c r="I89" s="230">
        <v>-14</v>
      </c>
      <c r="J89" s="230">
        <v>137.19999999999999</v>
      </c>
      <c r="K89" s="231">
        <v>18.599999999999987</v>
      </c>
      <c r="L89" s="232">
        <f>SUM(H89:K89)</f>
        <v>55.89999999999997</v>
      </c>
      <c r="M89" s="231">
        <v>22.1</v>
      </c>
      <c r="N89" s="268">
        <v>61.3</v>
      </c>
      <c r="O89" s="267">
        <v>-22.8</v>
      </c>
      <c r="P89" s="230">
        <v>-40.299999999999997</v>
      </c>
      <c r="Q89" s="230">
        <v>134.9</v>
      </c>
      <c r="R89" s="231">
        <v>16.5</v>
      </c>
      <c r="S89" s="268">
        <f>SUM(O89:R89)</f>
        <v>88.300000000000011</v>
      </c>
      <c r="T89" s="267">
        <v>-22.5</v>
      </c>
      <c r="U89" s="230">
        <v>-46.199999999999989</v>
      </c>
      <c r="V89" s="230">
        <f>U89+T89</f>
        <v>-68.699999999999989</v>
      </c>
      <c r="W89" s="230">
        <v>134.09999999999997</v>
      </c>
      <c r="X89" s="231">
        <v>18.7</v>
      </c>
      <c r="Y89" s="268">
        <v>84.100000000000009</v>
      </c>
      <c r="Z89" s="267">
        <v>-57.2</v>
      </c>
      <c r="AA89" s="230">
        <v>1.3000000000000256</v>
      </c>
      <c r="AB89" s="230">
        <f>AA89+Z89</f>
        <v>-55.899999999999977</v>
      </c>
      <c r="AC89" s="230">
        <v>78.699999999999989</v>
      </c>
      <c r="AD89" s="231">
        <v>75.700000000000017</v>
      </c>
      <c r="AE89" s="268">
        <v>98.500000000000014</v>
      </c>
      <c r="AF89" s="267">
        <v>-86.8</v>
      </c>
      <c r="AG89" s="230">
        <v>-1.7999999999999972</v>
      </c>
      <c r="AH89" s="230">
        <f>AG89+AF89</f>
        <v>-88.6</v>
      </c>
      <c r="AI89" s="230">
        <v>96.5</v>
      </c>
      <c r="AJ89" s="231">
        <v>7.0999999999999943</v>
      </c>
      <c r="AK89" s="268">
        <v>15</v>
      </c>
      <c r="AL89" s="272">
        <v>-11.899999999999977</v>
      </c>
      <c r="AM89" s="268">
        <v>43.9</v>
      </c>
      <c r="AN89" s="272">
        <v>16.2</v>
      </c>
      <c r="AO89" s="268">
        <f>3.8-122.6+131.2</f>
        <v>12.399999999999991</v>
      </c>
      <c r="AP89" s="272">
        <v>-101.4</v>
      </c>
      <c r="AQ89" s="268">
        <v>8.6999999999999993</v>
      </c>
      <c r="AR89" s="272">
        <v>-107.3</v>
      </c>
      <c r="AS89" s="268">
        <v>-45.5</v>
      </c>
      <c r="AT89" s="272">
        <v>-129.5</v>
      </c>
      <c r="AU89" s="268">
        <v>33.200000000000003</v>
      </c>
      <c r="AV89" s="272">
        <v>-194.2</v>
      </c>
      <c r="AW89" s="268">
        <v>108.3</v>
      </c>
      <c r="AX89" s="272">
        <v>81.599999999999994</v>
      </c>
      <c r="AY89" s="268">
        <v>-34.4</v>
      </c>
      <c r="AZ89" s="272">
        <v>-45.6</v>
      </c>
      <c r="BA89" s="268">
        <v>-41.6</v>
      </c>
      <c r="BB89" s="272">
        <v>-169.1</v>
      </c>
      <c r="BC89" s="272">
        <v>-9.6999999999999993</v>
      </c>
      <c r="BD89" s="272">
        <v>-235.6</v>
      </c>
      <c r="BE89" s="261"/>
      <c r="BF89" s="53"/>
    </row>
    <row r="90" spans="1:58">
      <c r="A90" s="265" t="s">
        <v>203</v>
      </c>
      <c r="B90" s="261">
        <v>10.5</v>
      </c>
      <c r="C90" s="267">
        <v>1.2</v>
      </c>
      <c r="D90" s="230">
        <v>-1.2</v>
      </c>
      <c r="E90" s="230">
        <v>11.5</v>
      </c>
      <c r="F90" s="231">
        <v>1.7</v>
      </c>
      <c r="G90" s="268">
        <f>SUM(C90:F90)</f>
        <v>13.2</v>
      </c>
      <c r="H90" s="267">
        <v>-1.1000000000000001</v>
      </c>
      <c r="I90" s="230">
        <v>-1.5</v>
      </c>
      <c r="J90" s="230">
        <v>1.8</v>
      </c>
      <c r="K90" s="231">
        <v>3.5</v>
      </c>
      <c r="L90" s="232">
        <f>SUM(H90:K90)</f>
        <v>2.7</v>
      </c>
      <c r="M90" s="231">
        <v>3.6</v>
      </c>
      <c r="N90" s="268">
        <v>3.2</v>
      </c>
      <c r="O90" s="267">
        <v>0.4</v>
      </c>
      <c r="P90" s="230">
        <v>1.6</v>
      </c>
      <c r="Q90" s="230">
        <v>0.3</v>
      </c>
      <c r="R90" s="231">
        <v>4.3</v>
      </c>
      <c r="S90" s="268">
        <f>SUM(O90:R90)</f>
        <v>6.6</v>
      </c>
      <c r="T90" s="267">
        <v>0.4</v>
      </c>
      <c r="U90" s="230">
        <v>2.1</v>
      </c>
      <c r="V90" s="230">
        <f>U90+T90</f>
        <v>2.5</v>
      </c>
      <c r="W90" s="230">
        <v>-0.39999999999999991</v>
      </c>
      <c r="X90" s="231">
        <v>4.8</v>
      </c>
      <c r="Y90" s="268">
        <v>6.9</v>
      </c>
      <c r="Z90" s="267">
        <v>-1.3</v>
      </c>
      <c r="AA90" s="230">
        <v>-1.4000000000000001</v>
      </c>
      <c r="AB90" s="230">
        <f>AA90+Z90</f>
        <v>-2.7</v>
      </c>
      <c r="AC90" s="230">
        <v>-1.6000000000000005</v>
      </c>
      <c r="AD90" s="231">
        <v>-9.2999999999999989</v>
      </c>
      <c r="AE90" s="268">
        <v>-13.6</v>
      </c>
      <c r="AF90" s="267">
        <v>-1.1000000000000001</v>
      </c>
      <c r="AG90" s="230">
        <v>-1.5</v>
      </c>
      <c r="AH90" s="230">
        <f>AG90+AF90</f>
        <v>-2.6</v>
      </c>
      <c r="AI90" s="230">
        <v>0.60000000000000009</v>
      </c>
      <c r="AJ90" s="231">
        <v>0.19999999999999996</v>
      </c>
      <c r="AK90" s="268">
        <v>-1.8</v>
      </c>
      <c r="AL90" s="272">
        <v>1.8</v>
      </c>
      <c r="AM90" s="268">
        <v>1.8</v>
      </c>
      <c r="AN90" s="272">
        <v>-3.4</v>
      </c>
      <c r="AO90" s="268">
        <v>-2.9</v>
      </c>
      <c r="AP90" s="272">
        <v>-1.8</v>
      </c>
      <c r="AQ90" s="268">
        <v>-4.3</v>
      </c>
      <c r="AR90" s="272">
        <v>-3.1</v>
      </c>
      <c r="AS90" s="268">
        <v>-10.199999999999999</v>
      </c>
      <c r="AT90" s="272">
        <v>-1.5</v>
      </c>
      <c r="AU90" s="268">
        <v>-6.2</v>
      </c>
      <c r="AV90" s="272">
        <v>0.4</v>
      </c>
      <c r="AW90" s="268">
        <v>-1.4</v>
      </c>
      <c r="AX90" s="272">
        <v>-3.1</v>
      </c>
      <c r="AY90" s="388">
        <v>-28.4</v>
      </c>
      <c r="AZ90" s="272">
        <v>2.2000000000000002</v>
      </c>
      <c r="BA90" s="388">
        <v>1.5</v>
      </c>
      <c r="BB90" s="272">
        <v>-2.2999999999999998</v>
      </c>
      <c r="BC90" s="272">
        <v>-1.3</v>
      </c>
      <c r="BD90" s="272">
        <v>-3</v>
      </c>
      <c r="BE90" s="261"/>
      <c r="BF90" s="53"/>
    </row>
    <row r="91" spans="1:58">
      <c r="A91" s="265" t="s">
        <v>58</v>
      </c>
      <c r="B91" s="261">
        <v>-89.3</v>
      </c>
      <c r="C91" s="267">
        <v>-29.5</v>
      </c>
      <c r="D91" s="230">
        <v>-20.9</v>
      </c>
      <c r="E91" s="230">
        <v>-44.2</v>
      </c>
      <c r="F91" s="231">
        <v>-46.4</v>
      </c>
      <c r="G91" s="268">
        <f>SUM(C91:F91)</f>
        <v>-141</v>
      </c>
      <c r="H91" s="267">
        <v>-30.8</v>
      </c>
      <c r="I91" s="230">
        <v>-7.8</v>
      </c>
      <c r="J91" s="230">
        <v>-19.2</v>
      </c>
      <c r="K91" s="231">
        <v>-31.799999999999997</v>
      </c>
      <c r="L91" s="232">
        <f>SUM(H91:K91)</f>
        <v>-89.6</v>
      </c>
      <c r="M91" s="231">
        <v>-31.5</v>
      </c>
      <c r="N91" s="268">
        <v>-88.4</v>
      </c>
      <c r="O91" s="267">
        <v>-21.4</v>
      </c>
      <c r="P91" s="230">
        <v>-15.7</v>
      </c>
      <c r="Q91" s="230">
        <v>-37.200000000000003</v>
      </c>
      <c r="R91" s="231">
        <v>-22.600000000000065</v>
      </c>
      <c r="S91" s="268">
        <f>SUM(O91:R91)</f>
        <v>-96.900000000000063</v>
      </c>
      <c r="T91" s="267">
        <v>-21.4</v>
      </c>
      <c r="U91" s="230">
        <v>-15.5</v>
      </c>
      <c r="V91" s="230">
        <f>U91+T91</f>
        <v>-36.9</v>
      </c>
      <c r="W91" s="230">
        <v>-35.300000000000004</v>
      </c>
      <c r="X91" s="231">
        <v>-22.8</v>
      </c>
      <c r="Y91" s="268">
        <v>-95</v>
      </c>
      <c r="Z91" s="267">
        <v>-12.4</v>
      </c>
      <c r="AA91" s="230">
        <v>-7.1</v>
      </c>
      <c r="AB91" s="230">
        <f>AA91+Z91</f>
        <v>-19.5</v>
      </c>
      <c r="AC91" s="230">
        <v>-20.200000000000003</v>
      </c>
      <c r="AD91" s="231">
        <v>-16.399999999999999</v>
      </c>
      <c r="AE91" s="268">
        <v>-56.1</v>
      </c>
      <c r="AF91" s="267">
        <v>-11</v>
      </c>
      <c r="AG91" s="230">
        <v>-10.599999999999998</v>
      </c>
      <c r="AH91" s="230">
        <f>AG91+AF91</f>
        <v>-21.599999999999998</v>
      </c>
      <c r="AI91" s="230">
        <v>-24.400000000000002</v>
      </c>
      <c r="AJ91" s="231">
        <v>-23</v>
      </c>
      <c r="AK91" s="268">
        <v>-69</v>
      </c>
      <c r="AL91" s="272">
        <v>-23</v>
      </c>
      <c r="AM91" s="268">
        <v>-72.7</v>
      </c>
      <c r="AN91" s="272">
        <v>-33.6</v>
      </c>
      <c r="AO91" s="268">
        <v>-92.1</v>
      </c>
      <c r="AP91" s="272">
        <v>-61.1</v>
      </c>
      <c r="AQ91" s="268">
        <v>-128.4</v>
      </c>
      <c r="AR91" s="272">
        <v>-50.3</v>
      </c>
      <c r="AS91" s="268">
        <v>-116.4</v>
      </c>
      <c r="AT91" s="272">
        <v>-73.400000000000006</v>
      </c>
      <c r="AU91" s="268">
        <v>-211.5</v>
      </c>
      <c r="AV91" s="272">
        <v>-63.6</v>
      </c>
      <c r="AW91" s="268">
        <v>-183.2</v>
      </c>
      <c r="AX91" s="272">
        <v>-83.2</v>
      </c>
      <c r="AY91" s="388">
        <v>-142.30000000000001</v>
      </c>
      <c r="AZ91" s="272">
        <v>-63.4</v>
      </c>
      <c r="BA91" s="388">
        <v>-195.7</v>
      </c>
      <c r="BB91" s="272">
        <v>-94.7</v>
      </c>
      <c r="BC91" s="272">
        <v>-225.8</v>
      </c>
      <c r="BD91" s="272">
        <v>-92.3</v>
      </c>
      <c r="BE91" s="261"/>
      <c r="BF91" s="53"/>
    </row>
    <row r="92" spans="1:58" s="53" customFormat="1">
      <c r="A92" s="264" t="s">
        <v>59</v>
      </c>
      <c r="B92" s="233">
        <v>997.2</v>
      </c>
      <c r="C92" s="234">
        <f t="shared" ref="C92:P92" si="151">+C91+C90+C89+C87</f>
        <v>131.69999999999999</v>
      </c>
      <c r="D92" s="235">
        <f t="shared" si="151"/>
        <v>293.8</v>
      </c>
      <c r="E92" s="235">
        <f t="shared" si="151"/>
        <v>478.1</v>
      </c>
      <c r="F92" s="235">
        <f t="shared" si="151"/>
        <v>84.199999999999989</v>
      </c>
      <c r="G92" s="236">
        <f>SUM(C92:F92)</f>
        <v>987.8</v>
      </c>
      <c r="H92" s="237">
        <f t="shared" si="151"/>
        <v>-4.7000000000000171</v>
      </c>
      <c r="I92" s="235">
        <f t="shared" si="151"/>
        <v>288.59999999999997</v>
      </c>
      <c r="J92" s="235">
        <f>+J91+J90+J89+J87</f>
        <v>426.9</v>
      </c>
      <c r="K92" s="235">
        <f>+K91+K90+K89+K87</f>
        <v>134.90000000000018</v>
      </c>
      <c r="L92" s="236">
        <f>SUM(H92:K92)</f>
        <v>845.70000000000016</v>
      </c>
      <c r="M92" s="235">
        <f t="shared" si="151"/>
        <v>135.19999999999999</v>
      </c>
      <c r="N92" s="236">
        <f t="shared" si="151"/>
        <v>828.30000000000064</v>
      </c>
      <c r="O92" s="237">
        <f t="shared" si="151"/>
        <v>38.799999999999997</v>
      </c>
      <c r="P92" s="235">
        <f t="shared" si="151"/>
        <v>230.6</v>
      </c>
      <c r="Q92" s="235">
        <f>+Q91+Q90+Q89+Q87</f>
        <v>405.9</v>
      </c>
      <c r="R92" s="235">
        <v>98.9</v>
      </c>
      <c r="S92" s="236">
        <f>SUM(O92:R92)</f>
        <v>774.19999999999993</v>
      </c>
      <c r="T92" s="237">
        <f t="shared" ref="T92:AF92" si="152">+T91+T90+T89+T87</f>
        <v>38.200000000000088</v>
      </c>
      <c r="U92" s="235">
        <f t="shared" si="152"/>
        <v>217.89999999999978</v>
      </c>
      <c r="V92" s="235">
        <f t="shared" si="152"/>
        <v>256.09999999999991</v>
      </c>
      <c r="W92" s="235">
        <f t="shared" si="152"/>
        <v>396.40000000000009</v>
      </c>
      <c r="X92" s="235">
        <f t="shared" si="152"/>
        <v>101.10000000000001</v>
      </c>
      <c r="Y92" s="236">
        <f t="shared" si="152"/>
        <v>753.59999999999877</v>
      </c>
      <c r="Z92" s="237">
        <f t="shared" si="152"/>
        <v>12.400000000000091</v>
      </c>
      <c r="AA92" s="235">
        <f t="shared" si="152"/>
        <v>237.39999999999941</v>
      </c>
      <c r="AB92" s="235">
        <f t="shared" si="152"/>
        <v>249.79999999999956</v>
      </c>
      <c r="AC92" s="235">
        <f t="shared" si="152"/>
        <v>352.70000000000033</v>
      </c>
      <c r="AD92" s="235">
        <f t="shared" si="152"/>
        <v>182.4</v>
      </c>
      <c r="AE92" s="236">
        <f t="shared" si="152"/>
        <v>784.90000000000009</v>
      </c>
      <c r="AF92" s="237">
        <f t="shared" si="152"/>
        <v>-34.100000000000094</v>
      </c>
      <c r="AG92" s="235">
        <f>+AG91+AG90+AG89+AG87</f>
        <v>269</v>
      </c>
      <c r="AH92" s="235">
        <f>+AH91+AH90+AH89+AH87</f>
        <v>234.89999999999986</v>
      </c>
      <c r="AI92" s="235">
        <f>+AI91+AI90+AI89+AI87</f>
        <v>337.69999999999976</v>
      </c>
      <c r="AJ92" s="235">
        <f>+AJ91+AJ90+AJ89+AJ87</f>
        <v>113.69999999999997</v>
      </c>
      <c r="AK92" s="236">
        <f>+AK91+AK90+AK89+AK87</f>
        <v>686.30000000000007</v>
      </c>
      <c r="AL92" s="238">
        <v>336.4000000000002</v>
      </c>
      <c r="AM92" s="239">
        <v>739.3</v>
      </c>
      <c r="AN92" s="238">
        <v>374.9</v>
      </c>
      <c r="AO92" s="239">
        <v>763.3</v>
      </c>
      <c r="AP92" s="238">
        <v>258.89999999999998</v>
      </c>
      <c r="AQ92" s="239">
        <v>803.5</v>
      </c>
      <c r="AR92" s="238">
        <v>305.2</v>
      </c>
      <c r="AS92" s="239">
        <v>769.6</v>
      </c>
      <c r="AT92" s="238">
        <v>275</v>
      </c>
      <c r="AU92" s="239">
        <v>926.2</v>
      </c>
      <c r="AV92" s="238">
        <v>137.80000000000001</v>
      </c>
      <c r="AW92" s="239">
        <v>961.5</v>
      </c>
      <c r="AX92" s="238">
        <v>495.9</v>
      </c>
      <c r="AY92" s="239">
        <f>SUM(AY87:AY91)</f>
        <v>1142.1999999999998</v>
      </c>
      <c r="AZ92" s="238">
        <v>532.59999999999968</v>
      </c>
      <c r="BA92" s="239">
        <v>1234.6000000000001</v>
      </c>
      <c r="BB92" s="238">
        <f>SUM(BB87:BB91)</f>
        <v>495.40000000000003</v>
      </c>
      <c r="BC92" s="238">
        <v>1386.7</v>
      </c>
      <c r="BD92" s="238">
        <v>423</v>
      </c>
      <c r="BE92" s="511"/>
    </row>
    <row r="93" spans="1:58" ht="9" customHeight="1">
      <c r="A93" s="265"/>
      <c r="B93" s="261"/>
      <c r="C93" s="267"/>
      <c r="D93" s="230"/>
      <c r="E93" s="230"/>
      <c r="F93" s="231"/>
      <c r="G93" s="268"/>
      <c r="H93" s="267"/>
      <c r="I93" s="230"/>
      <c r="J93" s="230"/>
      <c r="K93" s="231"/>
      <c r="L93" s="231"/>
      <c r="M93" s="231"/>
      <c r="N93" s="268"/>
      <c r="O93" s="267"/>
      <c r="P93" s="230"/>
      <c r="Q93" s="230"/>
      <c r="R93" s="231"/>
      <c r="S93" s="268"/>
      <c r="T93" s="267"/>
      <c r="U93" s="230"/>
      <c r="V93" s="230"/>
      <c r="W93" s="230"/>
      <c r="X93" s="231"/>
      <c r="Y93" s="268"/>
      <c r="Z93" s="267"/>
      <c r="AA93" s="230"/>
      <c r="AB93" s="230"/>
      <c r="AC93" s="230"/>
      <c r="AD93" s="231"/>
      <c r="AE93" s="268"/>
      <c r="AF93" s="267"/>
      <c r="AG93" s="230"/>
      <c r="AH93" s="230"/>
      <c r="AI93" s="230"/>
      <c r="AJ93" s="231"/>
      <c r="AK93" s="268"/>
      <c r="AL93" s="272"/>
      <c r="AM93" s="271"/>
      <c r="AN93" s="272"/>
      <c r="AO93" s="271"/>
      <c r="AP93" s="272"/>
      <c r="AQ93" s="271"/>
      <c r="AR93" s="272"/>
      <c r="AS93" s="271"/>
      <c r="AT93" s="272"/>
      <c r="AU93" s="271"/>
      <c r="AV93" s="272"/>
      <c r="AW93" s="271"/>
      <c r="AX93" s="272"/>
      <c r="AY93" s="380"/>
      <c r="AZ93" s="272"/>
      <c r="BA93" s="380"/>
      <c r="BB93" s="272"/>
      <c r="BC93" s="272"/>
      <c r="BD93" s="272"/>
      <c r="BE93" s="261"/>
      <c r="BF93" s="53"/>
    </row>
    <row r="94" spans="1:58" s="53" customFormat="1">
      <c r="A94" s="264" t="s">
        <v>98</v>
      </c>
      <c r="B94" s="233">
        <v>-451</v>
      </c>
      <c r="C94" s="234">
        <v>-67.2</v>
      </c>
      <c r="D94" s="235">
        <v>-107.4</v>
      </c>
      <c r="E94" s="235">
        <v>-86.5</v>
      </c>
      <c r="F94" s="235">
        <v>-178.3</v>
      </c>
      <c r="G94" s="236">
        <f>SUM(C94:F94)</f>
        <v>-439.40000000000003</v>
      </c>
      <c r="H94" s="237">
        <v>-62.8</v>
      </c>
      <c r="I94" s="235">
        <v>-103.7</v>
      </c>
      <c r="J94" s="235">
        <v>-128.19999999999999</v>
      </c>
      <c r="K94" s="235">
        <v>-113.3</v>
      </c>
      <c r="L94" s="236">
        <f>SUM(H94:K94)</f>
        <v>-408</v>
      </c>
      <c r="M94" s="235">
        <v>-111.3</v>
      </c>
      <c r="N94" s="236">
        <v>-401.1</v>
      </c>
      <c r="O94" s="237">
        <v>-70.900000000000006</v>
      </c>
      <c r="P94" s="235">
        <v>-102.9</v>
      </c>
      <c r="Q94" s="235">
        <v>-120.7</v>
      </c>
      <c r="R94" s="235">
        <v>-122.8</v>
      </c>
      <c r="S94" s="236">
        <f>SUM(O94:R94)</f>
        <v>-417.3</v>
      </c>
      <c r="T94" s="237">
        <v>-69.899999999999991</v>
      </c>
      <c r="U94" s="235">
        <v>-101.30000000000001</v>
      </c>
      <c r="V94" s="235">
        <f>U94+T94</f>
        <v>-171.2</v>
      </c>
      <c r="W94" s="235">
        <v>-119</v>
      </c>
      <c r="X94" s="235">
        <v>-122.1</v>
      </c>
      <c r="Y94" s="236">
        <v>-412.3</v>
      </c>
      <c r="Z94" s="237">
        <v>-52</v>
      </c>
      <c r="AA94" s="235">
        <v>-100.2</v>
      </c>
      <c r="AB94" s="235">
        <f>AA94+Z94</f>
        <v>-152.19999999999999</v>
      </c>
      <c r="AC94" s="235">
        <v>-105.19999999999999</v>
      </c>
      <c r="AD94" s="235">
        <v>-114.80000000000001</v>
      </c>
      <c r="AE94" s="236">
        <v>-372.2</v>
      </c>
      <c r="AF94" s="237">
        <v>-46.7</v>
      </c>
      <c r="AG94" s="235">
        <v>-93.40000000000002</v>
      </c>
      <c r="AH94" s="235">
        <f>AG94+AF94</f>
        <v>-140.10000000000002</v>
      </c>
      <c r="AI94" s="235">
        <v>-87.8</v>
      </c>
      <c r="AJ94" s="235">
        <v>-125.70000000000002</v>
      </c>
      <c r="AK94" s="236">
        <v>-353.6</v>
      </c>
      <c r="AL94" s="238">
        <v>-117.2</v>
      </c>
      <c r="AM94" s="239">
        <v>-327.5</v>
      </c>
      <c r="AN94" s="238">
        <v>-135.1</v>
      </c>
      <c r="AO94" s="239">
        <v>-332.1</v>
      </c>
      <c r="AP94" s="238">
        <v>-163.80000000000001</v>
      </c>
      <c r="AQ94" s="239">
        <v>-377.6</v>
      </c>
      <c r="AR94" s="238">
        <v>-178.4</v>
      </c>
      <c r="AS94" s="239">
        <v>-426.6</v>
      </c>
      <c r="AT94" s="238">
        <v>-195.7</v>
      </c>
      <c r="AU94" s="239">
        <v>-483.6</v>
      </c>
      <c r="AV94" s="238">
        <v>-176.3</v>
      </c>
      <c r="AW94" s="239">
        <v>-464.5</v>
      </c>
      <c r="AX94" s="238">
        <v>-218.4</v>
      </c>
      <c r="AY94" s="239">
        <v>-540.9</v>
      </c>
      <c r="AZ94" s="238">
        <v>-199.7</v>
      </c>
      <c r="BA94" s="239">
        <v>-589.49999999999989</v>
      </c>
      <c r="BB94" s="238">
        <v>-238.8</v>
      </c>
      <c r="BC94" s="238">
        <v>-674.9</v>
      </c>
      <c r="BD94" s="238">
        <v>-202.8</v>
      </c>
      <c r="BE94" s="511"/>
    </row>
    <row r="95" spans="1:58" ht="5.9" customHeight="1">
      <c r="A95" s="265"/>
      <c r="B95" s="261"/>
      <c r="C95" s="267"/>
      <c r="D95" s="230"/>
      <c r="E95" s="230"/>
      <c r="F95" s="231"/>
      <c r="G95" s="268"/>
      <c r="H95" s="267"/>
      <c r="I95" s="230"/>
      <c r="J95" s="230"/>
      <c r="K95" s="231"/>
      <c r="L95" s="231"/>
      <c r="M95" s="231"/>
      <c r="N95" s="268"/>
      <c r="O95" s="267"/>
      <c r="P95" s="230"/>
      <c r="Q95" s="230"/>
      <c r="R95" s="231"/>
      <c r="S95" s="268"/>
      <c r="T95" s="267"/>
      <c r="U95" s="230"/>
      <c r="V95" s="230"/>
      <c r="W95" s="230"/>
      <c r="X95" s="231"/>
      <c r="Y95" s="270"/>
      <c r="Z95" s="267"/>
      <c r="AA95" s="230"/>
      <c r="AB95" s="230"/>
      <c r="AC95" s="230"/>
      <c r="AD95" s="231"/>
      <c r="AE95" s="270"/>
      <c r="AF95" s="267"/>
      <c r="AG95" s="230"/>
      <c r="AH95" s="230"/>
      <c r="AI95" s="230"/>
      <c r="AJ95" s="231"/>
      <c r="AK95" s="270"/>
      <c r="AL95" s="272"/>
      <c r="AM95" s="271"/>
      <c r="AN95" s="272"/>
      <c r="AO95" s="271"/>
      <c r="AP95" s="272"/>
      <c r="AQ95" s="271"/>
      <c r="AR95" s="272"/>
      <c r="AS95" s="271"/>
      <c r="AT95" s="272"/>
      <c r="AU95" s="271"/>
      <c r="AV95" s="272"/>
      <c r="AW95" s="271"/>
      <c r="AX95" s="272"/>
      <c r="AY95" s="380"/>
      <c r="AZ95" s="272"/>
      <c r="BA95" s="380"/>
      <c r="BB95" s="272"/>
      <c r="BC95" s="272"/>
      <c r="BD95" s="272"/>
      <c r="BE95" s="261"/>
      <c r="BF95" s="53"/>
    </row>
    <row r="96" spans="1:58" s="53" customFormat="1" ht="14.5" thickBot="1">
      <c r="A96" s="266" t="s">
        <v>60</v>
      </c>
      <c r="B96" s="240">
        <v>546.20000000000005</v>
      </c>
      <c r="C96" s="241">
        <f t="shared" ref="C96:P96" si="153">+C92+C94</f>
        <v>64.499999999999986</v>
      </c>
      <c r="D96" s="242">
        <f t="shared" si="153"/>
        <v>186.4</v>
      </c>
      <c r="E96" s="242">
        <f t="shared" si="153"/>
        <v>391.6</v>
      </c>
      <c r="F96" s="242">
        <v>-94</v>
      </c>
      <c r="G96" s="243">
        <f>SUM(C96:F96)</f>
        <v>548.5</v>
      </c>
      <c r="H96" s="244">
        <f t="shared" si="153"/>
        <v>-67.500000000000014</v>
      </c>
      <c r="I96" s="242">
        <f t="shared" si="153"/>
        <v>184.89999999999998</v>
      </c>
      <c r="J96" s="242">
        <f>+J92+J94</f>
        <v>298.7</v>
      </c>
      <c r="K96" s="242">
        <f>+K92+K94</f>
        <v>21.600000000000179</v>
      </c>
      <c r="L96" s="243">
        <f>SUM(H96:K96)</f>
        <v>437.70000000000016</v>
      </c>
      <c r="M96" s="242">
        <f t="shared" si="153"/>
        <v>23.899999999999991</v>
      </c>
      <c r="N96" s="243">
        <f t="shared" si="153"/>
        <v>427.20000000000061</v>
      </c>
      <c r="O96" s="244">
        <f t="shared" si="153"/>
        <v>-32.100000000000009</v>
      </c>
      <c r="P96" s="242">
        <f t="shared" si="153"/>
        <v>127.69999999999999</v>
      </c>
      <c r="Q96" s="242">
        <f>+Q92+Q94</f>
        <v>285.2</v>
      </c>
      <c r="R96" s="242">
        <f>+R92+R94</f>
        <v>-23.899999999999991</v>
      </c>
      <c r="S96" s="243">
        <f>SUM(O96:R96)</f>
        <v>356.9</v>
      </c>
      <c r="T96" s="244">
        <f t="shared" ref="T96:AE96" si="154">+T92+T94</f>
        <v>-31.699999999999903</v>
      </c>
      <c r="U96" s="242">
        <f t="shared" si="154"/>
        <v>116.59999999999977</v>
      </c>
      <c r="V96" s="242">
        <f t="shared" si="154"/>
        <v>84.89999999999992</v>
      </c>
      <c r="W96" s="242">
        <f t="shared" si="154"/>
        <v>277.40000000000009</v>
      </c>
      <c r="X96" s="242">
        <f t="shared" si="154"/>
        <v>-20.999999999999986</v>
      </c>
      <c r="Y96" s="243">
        <f t="shared" si="154"/>
        <v>341.29999999999876</v>
      </c>
      <c r="Z96" s="244">
        <f t="shared" si="154"/>
        <v>-39.599999999999909</v>
      </c>
      <c r="AA96" s="242">
        <f t="shared" si="154"/>
        <v>137.19999999999942</v>
      </c>
      <c r="AB96" s="242">
        <f t="shared" si="154"/>
        <v>97.599999999999568</v>
      </c>
      <c r="AC96" s="242">
        <f t="shared" si="154"/>
        <v>247.50000000000034</v>
      </c>
      <c r="AD96" s="242">
        <f t="shared" si="154"/>
        <v>67.599999999999994</v>
      </c>
      <c r="AE96" s="243">
        <f t="shared" si="154"/>
        <v>412.7000000000001</v>
      </c>
      <c r="AF96" s="244">
        <v>-80.800000000000097</v>
      </c>
      <c r="AG96" s="242">
        <f>+AG92+AG94</f>
        <v>175.59999999999997</v>
      </c>
      <c r="AH96" s="242">
        <f>+AH92+AH94</f>
        <v>94.799999999999841</v>
      </c>
      <c r="AI96" s="242">
        <f>+AI92+AI94</f>
        <v>249.89999999999975</v>
      </c>
      <c r="AJ96" s="242">
        <f>+AJ92+AJ94</f>
        <v>-12.000000000000043</v>
      </c>
      <c r="AK96" s="243">
        <f>+AK92+AK94</f>
        <v>332.70000000000005</v>
      </c>
      <c r="AL96" s="245">
        <v>219.20000000000022</v>
      </c>
      <c r="AM96" s="246">
        <v>411.8</v>
      </c>
      <c r="AN96" s="245">
        <v>239.8</v>
      </c>
      <c r="AO96" s="246">
        <v>431.2</v>
      </c>
      <c r="AP96" s="245">
        <v>95.1</v>
      </c>
      <c r="AQ96" s="246">
        <v>425.9</v>
      </c>
      <c r="AR96" s="245">
        <v>126.8</v>
      </c>
      <c r="AS96" s="246">
        <v>370</v>
      </c>
      <c r="AT96" s="245">
        <v>79.3</v>
      </c>
      <c r="AU96" s="246">
        <v>442.6</v>
      </c>
      <c r="AV96" s="245">
        <v>-38.5</v>
      </c>
      <c r="AW96" s="246">
        <v>497</v>
      </c>
      <c r="AX96" s="245">
        <v>277.5</v>
      </c>
      <c r="AY96" s="218">
        <v>601.29999999999984</v>
      </c>
      <c r="AZ96" s="245">
        <v>332.89999999999969</v>
      </c>
      <c r="BA96" s="218">
        <v>645.10000000000025</v>
      </c>
      <c r="BB96" s="245">
        <v>256.60000000000002</v>
      </c>
      <c r="BC96" s="245">
        <v>711.8</v>
      </c>
      <c r="BD96" s="245">
        <v>220.2</v>
      </c>
      <c r="BE96" s="513"/>
    </row>
    <row r="97" spans="1:58">
      <c r="B97" s="402"/>
      <c r="C97" s="402"/>
      <c r="D97" s="402"/>
      <c r="E97" s="402"/>
      <c r="F97" s="402"/>
      <c r="G97" s="402"/>
      <c r="H97" s="402"/>
      <c r="I97" s="402"/>
      <c r="J97" s="402"/>
      <c r="K97" s="402"/>
      <c r="L97" s="402"/>
      <c r="M97" s="402"/>
      <c r="N97" s="402"/>
      <c r="O97" s="402"/>
      <c r="P97" s="402"/>
      <c r="Q97" s="402"/>
      <c r="R97" s="402"/>
      <c r="S97" s="402"/>
      <c r="T97" s="402"/>
      <c r="U97" s="402"/>
      <c r="V97" s="402"/>
      <c r="W97" s="402"/>
      <c r="X97" s="402"/>
      <c r="Y97" s="402"/>
      <c r="Z97" s="402"/>
      <c r="AA97" s="402"/>
      <c r="AB97" s="402"/>
      <c r="AC97" s="402"/>
      <c r="AD97" s="402"/>
      <c r="AE97" s="402"/>
      <c r="AF97" s="402"/>
      <c r="AG97" s="402"/>
      <c r="AH97" s="402"/>
      <c r="AI97" s="402"/>
      <c r="AJ97" s="402"/>
      <c r="AK97" s="402"/>
      <c r="AL97" s="402"/>
      <c r="AM97" s="402"/>
      <c r="AN97" s="402"/>
      <c r="AO97" s="402"/>
      <c r="AP97" s="402"/>
      <c r="AQ97" s="402"/>
      <c r="AR97" s="402"/>
      <c r="AS97" s="402"/>
      <c r="AT97" s="402"/>
      <c r="AU97" s="402"/>
      <c r="AV97" s="402"/>
      <c r="AW97" s="402"/>
      <c r="AX97" s="402"/>
      <c r="AY97" s="402"/>
      <c r="BF97" s="53"/>
    </row>
    <row r="98" spans="1:58">
      <c r="A98" s="15" t="s">
        <v>62</v>
      </c>
      <c r="B98" s="15"/>
      <c r="C98" s="15"/>
      <c r="D98" s="15"/>
      <c r="E98" s="15"/>
      <c r="F98" s="15"/>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BF98" s="53"/>
    </row>
    <row r="99" spans="1:58" ht="39.65" customHeight="1">
      <c r="A99" s="518" t="s">
        <v>209</v>
      </c>
      <c r="B99" s="518"/>
      <c r="C99" s="518"/>
      <c r="D99" s="518"/>
      <c r="E99" s="518"/>
      <c r="F99" s="518"/>
      <c r="G99" s="518"/>
      <c r="H99" s="518"/>
      <c r="I99" s="518"/>
      <c r="J99" s="518"/>
      <c r="K99" s="518"/>
      <c r="L99" s="518"/>
      <c r="M99" s="518"/>
      <c r="N99" s="518"/>
      <c r="O99" s="518"/>
      <c r="P99" s="518"/>
      <c r="Q99" s="518"/>
      <c r="R99" s="518"/>
      <c r="S99" s="518"/>
      <c r="T99" s="518"/>
      <c r="U99" s="518"/>
      <c r="V99" s="518"/>
      <c r="W99" s="518"/>
      <c r="X99" s="518"/>
      <c r="Y99" s="518"/>
      <c r="Z99" s="518"/>
      <c r="AA99" s="518"/>
      <c r="AB99" s="518"/>
      <c r="AC99" s="518"/>
      <c r="AD99" s="518"/>
      <c r="AE99" s="518"/>
      <c r="AF99" s="518"/>
      <c r="AG99" s="518"/>
      <c r="AH99" s="518"/>
      <c r="AI99" s="518"/>
      <c r="AJ99" s="518"/>
      <c r="AK99" s="518"/>
      <c r="AL99" s="518"/>
      <c r="AM99" s="518"/>
      <c r="AN99" s="518"/>
      <c r="AO99" s="518"/>
      <c r="AP99" s="518"/>
      <c r="AQ99" s="518"/>
      <c r="AR99" s="518"/>
      <c r="AS99" s="518"/>
      <c r="AT99" s="518"/>
      <c r="AU99" s="518"/>
      <c r="AV99" s="6"/>
      <c r="AW99" s="6"/>
      <c r="AX99" s="6"/>
      <c r="AY99" s="6"/>
    </row>
    <row r="100" spans="1:58" ht="14.15" customHeight="1">
      <c r="A100" s="518" t="s">
        <v>128</v>
      </c>
      <c r="B100" s="518"/>
      <c r="C100" s="518"/>
      <c r="D100" s="518"/>
      <c r="E100" s="518"/>
      <c r="F100" s="518"/>
      <c r="G100" s="518"/>
      <c r="H100" s="518"/>
      <c r="I100" s="518"/>
      <c r="J100" s="518"/>
      <c r="K100" s="518"/>
      <c r="L100" s="518"/>
      <c r="M100" s="518"/>
      <c r="N100" s="518"/>
      <c r="O100" s="518"/>
      <c r="P100" s="518"/>
      <c r="Q100" s="518"/>
      <c r="R100" s="518"/>
      <c r="S100" s="518"/>
      <c r="T100" s="518"/>
      <c r="U100" s="518"/>
      <c r="V100" s="518"/>
      <c r="W100" s="518"/>
      <c r="X100" s="518"/>
      <c r="Y100" s="518"/>
      <c r="Z100" s="518"/>
      <c r="AA100" s="518"/>
      <c r="AB100" s="518"/>
      <c r="AC100" s="518"/>
      <c r="AD100" s="518"/>
      <c r="AE100" s="518"/>
      <c r="AF100" s="518"/>
      <c r="AG100" s="518"/>
      <c r="AH100" s="518"/>
      <c r="AI100" s="518"/>
      <c r="AJ100" s="518"/>
      <c r="AK100" s="518"/>
      <c r="AL100" s="518"/>
      <c r="AM100" s="518"/>
      <c r="AN100" s="518"/>
      <c r="AO100" s="518"/>
      <c r="AP100" s="518"/>
      <c r="AQ100" s="518"/>
      <c r="AR100" s="518"/>
      <c r="AS100" s="518"/>
      <c r="AT100" s="518"/>
      <c r="AU100" s="518"/>
      <c r="AV100" s="6"/>
      <c r="AW100" s="6"/>
      <c r="AX100" s="6"/>
      <c r="AY100" s="6"/>
    </row>
    <row r="101" spans="1:58" ht="13.5" customHeight="1">
      <c r="A101" s="518" t="s">
        <v>129</v>
      </c>
      <c r="B101" s="518"/>
      <c r="C101" s="518"/>
      <c r="D101" s="518"/>
      <c r="E101" s="518"/>
      <c r="F101" s="518"/>
      <c r="G101" s="518"/>
      <c r="H101" s="518"/>
      <c r="I101" s="518"/>
      <c r="J101" s="518"/>
      <c r="K101" s="518"/>
      <c r="L101" s="518"/>
      <c r="M101" s="518"/>
      <c r="N101" s="518"/>
      <c r="O101" s="518"/>
      <c r="P101" s="518"/>
      <c r="Q101" s="518"/>
      <c r="R101" s="518"/>
      <c r="S101" s="518"/>
      <c r="T101" s="518"/>
      <c r="U101" s="518"/>
      <c r="V101" s="518"/>
      <c r="W101" s="518"/>
      <c r="X101" s="518"/>
      <c r="Y101" s="518"/>
      <c r="Z101" s="518"/>
      <c r="AA101" s="518"/>
      <c r="AB101" s="518"/>
      <c r="AC101" s="518"/>
      <c r="AD101" s="518"/>
      <c r="AE101" s="518"/>
      <c r="AF101" s="518"/>
      <c r="AG101" s="518"/>
      <c r="AH101" s="518"/>
      <c r="AI101" s="518"/>
      <c r="AJ101" s="518"/>
      <c r="AK101" s="518"/>
      <c r="AL101" s="518"/>
      <c r="AM101" s="518"/>
      <c r="AN101" s="518"/>
      <c r="AO101" s="518"/>
      <c r="AP101" s="518"/>
      <c r="AQ101" s="518"/>
      <c r="AR101" s="518"/>
      <c r="AS101" s="518"/>
      <c r="AT101" s="518"/>
      <c r="AU101" s="518"/>
      <c r="AV101" s="6"/>
      <c r="AW101" s="6"/>
      <c r="AX101" s="6"/>
      <c r="AY101" s="6"/>
    </row>
    <row r="102" spans="1:58" ht="13.5" customHeight="1">
      <c r="A102" s="166" t="s">
        <v>213</v>
      </c>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c r="AB102" s="166"/>
      <c r="AC102" s="166"/>
      <c r="AD102" s="166"/>
      <c r="AE102" s="166"/>
      <c r="AF102" s="166"/>
      <c r="AG102" s="166"/>
      <c r="AH102" s="166"/>
      <c r="AI102" s="166"/>
      <c r="AJ102" s="166"/>
      <c r="AK102" s="166"/>
      <c r="AL102" s="166"/>
      <c r="AM102" s="166"/>
      <c r="AN102" s="166"/>
      <c r="AO102" s="166"/>
      <c r="AP102" s="166"/>
      <c r="AQ102" s="166"/>
      <c r="AR102" s="166"/>
      <c r="AS102" s="166"/>
      <c r="AT102" s="166"/>
      <c r="AU102" s="166"/>
      <c r="AV102" s="6"/>
      <c r="AW102" s="6"/>
      <c r="AX102" s="6"/>
      <c r="AY102" s="6"/>
    </row>
    <row r="103" spans="1:58" ht="13.5" customHeight="1">
      <c r="A103" s="166"/>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c r="AV103" s="6"/>
      <c r="AW103" s="6"/>
      <c r="AX103" s="6"/>
      <c r="AY103" s="6"/>
    </row>
    <row r="104" spans="1:58" ht="20.25" customHeight="1">
      <c r="A104" s="516" t="s">
        <v>99</v>
      </c>
      <c r="B104" s="516"/>
      <c r="C104" s="516"/>
      <c r="D104" s="516"/>
      <c r="E104" s="516"/>
      <c r="F104" s="516"/>
      <c r="G104" s="516"/>
      <c r="H104" s="516"/>
      <c r="I104" s="516"/>
      <c r="J104" s="516"/>
      <c r="K104" s="516"/>
      <c r="L104" s="516"/>
      <c r="M104" s="516"/>
      <c r="N104" s="516"/>
      <c r="O104" s="516"/>
      <c r="P104" s="516"/>
      <c r="Q104" s="516"/>
      <c r="R104" s="516"/>
      <c r="S104" s="516"/>
      <c r="T104" s="516"/>
      <c r="U104" s="516"/>
      <c r="V104" s="516"/>
      <c r="W104" s="516"/>
      <c r="X104" s="516"/>
      <c r="Y104" s="516"/>
      <c r="Z104" s="516"/>
      <c r="AA104" s="516"/>
      <c r="AB104" s="516"/>
      <c r="AC104" s="516"/>
      <c r="AD104" s="516"/>
      <c r="AE104" s="516"/>
      <c r="AF104" s="516"/>
      <c r="AG104" s="516"/>
      <c r="AH104" s="516"/>
      <c r="AI104" s="516"/>
      <c r="AJ104" s="516"/>
      <c r="AK104" s="516"/>
      <c r="AL104" s="516"/>
      <c r="AM104" s="516"/>
      <c r="AN104" s="516"/>
      <c r="AO104" s="516"/>
      <c r="AP104" s="516"/>
      <c r="AQ104" s="516"/>
      <c r="AR104" s="516"/>
      <c r="AS104" s="516"/>
      <c r="AT104" s="516"/>
      <c r="AU104" s="516"/>
      <c r="AV104" s="6"/>
      <c r="AW104" s="6"/>
      <c r="AX104" s="6"/>
      <c r="AY104" s="6"/>
    </row>
    <row r="105" spans="1:58" ht="14.15" customHeight="1">
      <c r="A105" s="516" t="s">
        <v>100</v>
      </c>
      <c r="B105" s="516"/>
      <c r="C105" s="516"/>
      <c r="D105" s="516"/>
      <c r="E105" s="516"/>
      <c r="F105" s="516"/>
      <c r="G105" s="516"/>
      <c r="H105" s="516"/>
      <c r="I105" s="516"/>
      <c r="J105" s="516"/>
      <c r="K105" s="516"/>
      <c r="L105" s="516"/>
      <c r="M105" s="516"/>
      <c r="N105" s="516"/>
      <c r="O105" s="516"/>
      <c r="P105" s="516"/>
      <c r="Q105" s="516"/>
      <c r="R105" s="516"/>
      <c r="S105" s="516"/>
      <c r="T105" s="516"/>
      <c r="U105" s="516"/>
      <c r="V105" s="516"/>
      <c r="W105" s="516"/>
      <c r="X105" s="516"/>
      <c r="Y105" s="516"/>
      <c r="Z105" s="516"/>
      <c r="AA105" s="516"/>
      <c r="AB105" s="516"/>
      <c r="AC105" s="516"/>
      <c r="AD105" s="516"/>
      <c r="AE105" s="516"/>
      <c r="AF105" s="516"/>
      <c r="AG105" s="516"/>
      <c r="AH105" s="516"/>
      <c r="AI105" s="516"/>
      <c r="AJ105" s="516"/>
      <c r="AK105" s="516"/>
      <c r="AL105" s="516"/>
      <c r="AM105" s="516"/>
      <c r="AN105" s="516"/>
      <c r="AO105" s="516"/>
      <c r="AP105" s="516"/>
      <c r="AQ105" s="516"/>
      <c r="AR105" s="516"/>
      <c r="AS105" s="516"/>
      <c r="AT105" s="516"/>
      <c r="AU105" s="516"/>
      <c r="AV105" s="6"/>
      <c r="AW105" s="6"/>
      <c r="AX105" s="6"/>
      <c r="AY105" s="6"/>
    </row>
    <row r="106" spans="1:58" ht="14.15" customHeight="1">
      <c r="A106" s="516" t="s">
        <v>101</v>
      </c>
      <c r="B106" s="516"/>
      <c r="C106" s="516"/>
      <c r="D106" s="516"/>
      <c r="E106" s="516"/>
      <c r="F106" s="516"/>
      <c r="G106" s="516"/>
      <c r="H106" s="516"/>
      <c r="I106" s="516"/>
      <c r="J106" s="516"/>
      <c r="K106" s="516"/>
      <c r="L106" s="516"/>
      <c r="M106" s="516"/>
      <c r="N106" s="516"/>
      <c r="O106" s="516"/>
      <c r="P106" s="516"/>
      <c r="Q106" s="516"/>
      <c r="R106" s="516"/>
      <c r="S106" s="516"/>
      <c r="T106" s="516"/>
      <c r="U106" s="516"/>
      <c r="V106" s="516"/>
      <c r="W106" s="516"/>
      <c r="X106" s="516"/>
      <c r="Y106" s="516"/>
      <c r="Z106" s="516"/>
      <c r="AA106" s="516"/>
      <c r="AB106" s="516"/>
      <c r="AC106" s="516"/>
      <c r="AD106" s="516"/>
      <c r="AE106" s="516"/>
      <c r="AF106" s="516"/>
      <c r="AG106" s="516"/>
      <c r="AH106" s="516"/>
      <c r="AI106" s="516"/>
      <c r="AJ106" s="516"/>
      <c r="AK106" s="516"/>
      <c r="AL106" s="516"/>
      <c r="AM106" s="516"/>
      <c r="AN106" s="516"/>
      <c r="AO106" s="516"/>
      <c r="AP106" s="516"/>
      <c r="AQ106" s="516"/>
      <c r="AR106" s="516"/>
      <c r="AS106" s="516"/>
      <c r="AT106" s="516"/>
      <c r="AU106" s="516"/>
      <c r="AV106" s="6"/>
      <c r="AW106" s="6"/>
      <c r="AX106" s="6"/>
      <c r="AY106" s="6"/>
    </row>
    <row r="107" spans="1:58" ht="48.75" customHeight="1">
      <c r="A107" s="165"/>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c r="AB107" s="165"/>
      <c r="AC107" s="165"/>
      <c r="AD107" s="165"/>
      <c r="AE107" s="165"/>
      <c r="AF107" s="165"/>
      <c r="AG107" s="165"/>
      <c r="AH107" s="165"/>
      <c r="AI107" s="165"/>
      <c r="AJ107" s="165"/>
      <c r="AK107" s="165"/>
      <c r="AL107" s="165"/>
      <c r="AM107" s="165"/>
      <c r="AN107" s="165"/>
      <c r="AO107" s="165"/>
      <c r="AP107" s="165"/>
      <c r="AQ107" s="165"/>
      <c r="AR107" s="165"/>
      <c r="AS107" s="165"/>
      <c r="AT107" s="165"/>
      <c r="AU107" s="165"/>
      <c r="AV107" s="165"/>
      <c r="AW107" s="165"/>
      <c r="AX107" s="165"/>
      <c r="AY107" s="165"/>
    </row>
    <row r="108" spans="1:58">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row>
    <row r="109" spans="1:58">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row>
    <row r="110" spans="1:58">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row>
    <row r="111" spans="1:58">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row>
    <row r="112" spans="1:58">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row>
    <row r="113" s="6" customFormat="1"/>
    <row r="114" s="6" customFormat="1"/>
    <row r="115" s="6" customFormat="1"/>
    <row r="116" s="6" customFormat="1"/>
    <row r="117" s="6" customFormat="1"/>
    <row r="118" s="6" customFormat="1"/>
    <row r="119" s="6" customFormat="1"/>
    <row r="120" s="6" customFormat="1"/>
    <row r="121" s="6" customFormat="1"/>
    <row r="122" s="6" customFormat="1"/>
    <row r="123" s="6" customFormat="1"/>
    <row r="124" s="6" customFormat="1"/>
    <row r="125" s="6" customFormat="1"/>
    <row r="126" s="6" customFormat="1"/>
    <row r="127" s="6" customFormat="1"/>
    <row r="128" s="6" customFormat="1"/>
    <row r="129" s="6" customFormat="1"/>
    <row r="130" s="6" customFormat="1"/>
    <row r="131" s="6" customFormat="1"/>
    <row r="132" s="6" customFormat="1"/>
    <row r="133" s="6" customFormat="1"/>
    <row r="134" s="6" customFormat="1"/>
    <row r="135" s="6" customFormat="1"/>
    <row r="136" s="6" customFormat="1"/>
    <row r="137" s="6" customFormat="1"/>
    <row r="138" s="6" customFormat="1"/>
    <row r="139" s="6" customFormat="1"/>
    <row r="140" s="6" customFormat="1"/>
    <row r="141" s="6" customFormat="1"/>
    <row r="142" s="6" customFormat="1"/>
    <row r="143" s="6" customFormat="1"/>
    <row r="144" s="6" customFormat="1"/>
    <row r="145" s="6" customFormat="1"/>
    <row r="146" s="6" customFormat="1"/>
    <row r="147" s="6" customFormat="1"/>
    <row r="148" s="6" customFormat="1"/>
    <row r="149" s="6" customFormat="1"/>
    <row r="150" s="6" customFormat="1"/>
    <row r="151" s="6" customFormat="1"/>
    <row r="152" s="6" customFormat="1"/>
    <row r="153" s="6" customFormat="1"/>
    <row r="154" s="6" customFormat="1"/>
  </sheetData>
  <mergeCells count="6">
    <mergeCell ref="A106:AU106"/>
    <mergeCell ref="A99:AU99"/>
    <mergeCell ref="A100:AU100"/>
    <mergeCell ref="A101:AU101"/>
    <mergeCell ref="A104:AU104"/>
    <mergeCell ref="A105:AU105"/>
  </mergeCells>
  <pageMargins left="0.23622047244094491" right="0.23622047244094491" top="0.74803149606299213" bottom="0.74803149606299213" header="0.31496062992125984" footer="0.31496062992125984"/>
  <pageSetup paperSize="9" scale="61" fitToHeight="2" orientation="landscape" r:id="rId1"/>
  <rowBreaks count="1" manualBreakCount="1">
    <brk id="60" max="47" man="1"/>
  </rowBreaks>
  <customProperties>
    <customPr name="EpmWorksheetKeyString_GUID" r:id="rId2"/>
  </customProperties>
  <ignoredErrors>
    <ignoredError sqref="D16:E21 H41:AU60 C31:E36 H81:AU83 H77:AU78 H7:AU27 H30:AU38" formula="1"/>
    <ignoredError sqref="F6:G6 F61:G62 F7:F15 F30 F41:F60 F85:G85 F81:F83 F77:F78 C72:F76 F90:AU91 F89:G89 F64:G64 F67:G67 F22:F27 F37:F38 F87:G87 F98:AU98 F93:AU96 F92:AT92" formulaRange="1"/>
    <ignoredError sqref="F16:F21 F31:F36 G41:G60 G81:G83 H72:AU76 G72:G78 G7:G27 G30:G38" formula="1" formulaRange="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A2:X82"/>
  <sheetViews>
    <sheetView showGridLines="0" zoomScale="70" zoomScaleNormal="70" workbookViewId="0">
      <selection activeCell="C8" sqref="C8"/>
    </sheetView>
  </sheetViews>
  <sheetFormatPr defaultColWidth="9.453125" defaultRowHeight="14" outlineLevelCol="2"/>
  <cols>
    <col min="1" max="1" width="29.08984375" style="54" customWidth="1"/>
    <col min="2" max="3" width="9.54296875" style="54" customWidth="1" outlineLevel="1"/>
    <col min="4" max="12" width="9.453125" style="54" customWidth="1" outlineLevel="1"/>
    <col min="13" max="13" width="9.453125" style="54" customWidth="1" outlineLevel="2" collapsed="1"/>
    <col min="14" max="14" width="9.453125" style="54"/>
    <col min="15" max="16" width="9.54296875" style="54" bestFit="1" customWidth="1"/>
    <col min="17" max="17" width="8.08984375" style="54" bestFit="1" customWidth="1"/>
    <col min="18" max="18" width="12.54296875" style="475" bestFit="1" customWidth="1"/>
    <col min="19" max="19" width="11.54296875" style="475" bestFit="1" customWidth="1"/>
    <col min="20" max="20" width="9.453125" style="54"/>
    <col min="21" max="21" width="20.08984375" style="54" customWidth="1"/>
    <col min="22" max="22" width="15.08984375" style="54" customWidth="1"/>
    <col min="23" max="16384" width="9.453125" style="54"/>
  </cols>
  <sheetData>
    <row r="2" spans="1:19" ht="19">
      <c r="A2" s="47" t="s">
        <v>158</v>
      </c>
      <c r="B2" s="131"/>
      <c r="C2" s="131"/>
      <c r="D2" s="131"/>
      <c r="E2" s="131"/>
      <c r="F2" s="131"/>
      <c r="G2" s="131"/>
      <c r="H2" s="131"/>
      <c r="I2" s="131"/>
      <c r="J2" s="131"/>
      <c r="K2" s="131"/>
      <c r="L2" s="131"/>
      <c r="M2" s="131"/>
      <c r="N2" s="131"/>
      <c r="O2" s="131"/>
      <c r="P2" s="131"/>
    </row>
    <row r="3" spans="1:19" ht="14.5" thickBot="1"/>
    <row r="4" spans="1:19" ht="18">
      <c r="A4" s="164" t="s">
        <v>41</v>
      </c>
      <c r="B4" s="157"/>
      <c r="C4" s="157"/>
      <c r="D4" s="50" t="s">
        <v>26</v>
      </c>
      <c r="E4" s="56"/>
      <c r="F4" s="51"/>
      <c r="G4" s="157"/>
      <c r="H4" s="157"/>
      <c r="I4" s="157"/>
      <c r="J4" s="157"/>
      <c r="K4" s="157"/>
      <c r="L4" s="157"/>
      <c r="M4" s="157"/>
      <c r="N4" s="157"/>
      <c r="O4" s="157"/>
      <c r="P4" s="157"/>
      <c r="Q4" s="490"/>
    </row>
    <row r="5" spans="1:19" ht="14.5" thickBot="1">
      <c r="A5" s="158" t="s">
        <v>159</v>
      </c>
      <c r="B5" s="159">
        <v>2008</v>
      </c>
      <c r="C5" s="159">
        <v>2009</v>
      </c>
      <c r="D5" s="160" t="s">
        <v>65</v>
      </c>
      <c r="E5" s="159" t="s">
        <v>66</v>
      </c>
      <c r="F5" s="161" t="s">
        <v>67</v>
      </c>
      <c r="G5" s="159">
        <v>2013</v>
      </c>
      <c r="H5" s="159">
        <v>2014</v>
      </c>
      <c r="I5" s="159">
        <v>2015</v>
      </c>
      <c r="J5" s="159">
        <v>2016</v>
      </c>
      <c r="K5" s="159">
        <v>2017</v>
      </c>
      <c r="L5" s="159">
        <v>2018</v>
      </c>
      <c r="M5" s="159">
        <v>2019</v>
      </c>
      <c r="N5" s="159">
        <v>2020</v>
      </c>
      <c r="O5" s="159">
        <v>2021</v>
      </c>
      <c r="P5" s="159">
        <v>2022</v>
      </c>
      <c r="Q5" s="161">
        <v>2023</v>
      </c>
      <c r="R5" s="54"/>
      <c r="S5" s="54"/>
    </row>
    <row r="6" spans="1:19" ht="4.5" customHeight="1" thickBot="1">
      <c r="A6" s="132"/>
      <c r="B6" s="132"/>
      <c r="C6" s="132"/>
      <c r="D6" s="133"/>
      <c r="E6" s="133"/>
      <c r="F6" s="133"/>
      <c r="G6" s="133"/>
      <c r="H6" s="133"/>
      <c r="I6" s="133"/>
      <c r="J6" s="133"/>
      <c r="K6" s="133"/>
      <c r="L6" s="133"/>
      <c r="M6" s="133"/>
      <c r="N6" s="133"/>
      <c r="O6" s="133"/>
      <c r="P6" s="133"/>
      <c r="Q6" s="133"/>
      <c r="R6" s="54"/>
      <c r="S6" s="54"/>
    </row>
    <row r="7" spans="1:19">
      <c r="A7" s="147" t="s">
        <v>0</v>
      </c>
      <c r="B7" s="148"/>
      <c r="C7" s="148"/>
      <c r="D7" s="149"/>
      <c r="E7" s="148"/>
      <c r="F7" s="150"/>
      <c r="G7" s="148"/>
      <c r="H7" s="148"/>
      <c r="I7" s="148"/>
      <c r="J7" s="148"/>
      <c r="K7" s="148"/>
      <c r="L7" s="148"/>
      <c r="M7" s="148"/>
      <c r="N7" s="148"/>
      <c r="O7" s="148"/>
      <c r="P7" s="148"/>
      <c r="Q7" s="150"/>
      <c r="R7" s="54"/>
      <c r="S7" s="54"/>
    </row>
    <row r="8" spans="1:19">
      <c r="A8" s="151" t="s">
        <v>1</v>
      </c>
      <c r="B8" s="141">
        <v>82.7</v>
      </c>
      <c r="C8" s="141">
        <v>77.2</v>
      </c>
      <c r="D8" s="142">
        <v>90.4</v>
      </c>
      <c r="E8" s="141">
        <v>90.8</v>
      </c>
      <c r="F8" s="143">
        <v>92.6</v>
      </c>
      <c r="G8" s="141">
        <v>91.6</v>
      </c>
      <c r="H8" s="141">
        <v>89.6</v>
      </c>
      <c r="I8" s="141">
        <v>89.9</v>
      </c>
      <c r="J8" s="141">
        <v>86.04</v>
      </c>
      <c r="K8" s="141">
        <v>87</v>
      </c>
      <c r="L8" s="141">
        <v>87</v>
      </c>
      <c r="M8" s="141">
        <v>85.1</v>
      </c>
      <c r="N8" s="141">
        <v>75.5</v>
      </c>
      <c r="O8" s="141">
        <v>79.400000000000006</v>
      </c>
      <c r="P8" s="141">
        <v>86.4</v>
      </c>
      <c r="Q8" s="143">
        <v>83.2</v>
      </c>
      <c r="R8" s="54"/>
      <c r="S8" s="54"/>
    </row>
    <row r="9" spans="1:19">
      <c r="A9" s="274" t="s">
        <v>141</v>
      </c>
      <c r="B9" s="275">
        <v>-4.5034642032332428E-2</v>
      </c>
      <c r="C9" s="275">
        <f t="shared" ref="C9:P9" si="0">C8/B8-1</f>
        <v>-6.6505441354292594E-2</v>
      </c>
      <c r="D9" s="276">
        <f t="shared" si="0"/>
        <v>0.17098445595854916</v>
      </c>
      <c r="E9" s="275">
        <f t="shared" si="0"/>
        <v>4.4247787610618428E-3</v>
      </c>
      <c r="F9" s="277">
        <f t="shared" si="0"/>
        <v>1.982378854625555E-2</v>
      </c>
      <c r="G9" s="275">
        <f t="shared" si="0"/>
        <v>-1.0799136069114423E-2</v>
      </c>
      <c r="H9" s="275">
        <f t="shared" si="0"/>
        <v>-2.183406113537123E-2</v>
      </c>
      <c r="I9" s="275">
        <f t="shared" si="0"/>
        <v>3.3482142857144126E-3</v>
      </c>
      <c r="J9" s="275">
        <f t="shared" si="0"/>
        <v>-4.293659621802004E-2</v>
      </c>
      <c r="K9" s="275">
        <f t="shared" si="0"/>
        <v>1.1157601115760141E-2</v>
      </c>
      <c r="L9" s="275">
        <f t="shared" si="0"/>
        <v>0</v>
      </c>
      <c r="M9" s="275">
        <f t="shared" si="0"/>
        <v>-2.1839080459770233E-2</v>
      </c>
      <c r="N9" s="275">
        <f t="shared" si="0"/>
        <v>-0.11280846063454752</v>
      </c>
      <c r="O9" s="275">
        <f t="shared" si="0"/>
        <v>5.1655629139072845E-2</v>
      </c>
      <c r="P9" s="275">
        <f t="shared" si="0"/>
        <v>8.8161209068010171E-2</v>
      </c>
      <c r="Q9" s="277">
        <f>Q8/P8-1</f>
        <v>-3.703703703703709E-2</v>
      </c>
      <c r="R9" s="54"/>
      <c r="S9" s="54"/>
    </row>
    <row r="10" spans="1:19">
      <c r="A10" s="273" t="s">
        <v>2</v>
      </c>
      <c r="B10" s="71">
        <v>163.4</v>
      </c>
      <c r="C10" s="71">
        <v>161.5</v>
      </c>
      <c r="D10" s="214">
        <v>143</v>
      </c>
      <c r="E10" s="71">
        <v>126</v>
      </c>
      <c r="F10" s="209">
        <v>108.6</v>
      </c>
      <c r="G10" s="71">
        <v>97.9</v>
      </c>
      <c r="H10" s="71">
        <v>100</v>
      </c>
      <c r="I10" s="71">
        <v>101</v>
      </c>
      <c r="J10" s="71">
        <v>100.95</v>
      </c>
      <c r="K10" s="71">
        <v>106.8</v>
      </c>
      <c r="L10" s="71">
        <v>111.6</v>
      </c>
      <c r="M10" s="71">
        <v>112.6</v>
      </c>
      <c r="N10" s="71">
        <v>89.4</v>
      </c>
      <c r="O10" s="71">
        <v>103.4</v>
      </c>
      <c r="P10" s="71">
        <v>112.8</v>
      </c>
      <c r="Q10" s="143">
        <v>120.7</v>
      </c>
      <c r="R10" s="54"/>
      <c r="S10" s="54"/>
    </row>
    <row r="11" spans="1:19">
      <c r="A11" s="274" t="s">
        <v>141</v>
      </c>
      <c r="B11" s="275">
        <v>2.252816020025028E-2</v>
      </c>
      <c r="C11" s="275">
        <f t="shared" ref="C11:H11" si="1">C10/B10-1</f>
        <v>-1.1627906976744207E-2</v>
      </c>
      <c r="D11" s="276">
        <f t="shared" si="1"/>
        <v>-0.11455108359133126</v>
      </c>
      <c r="E11" s="275">
        <f t="shared" si="1"/>
        <v>-0.11888111888111885</v>
      </c>
      <c r="F11" s="277">
        <f t="shared" si="1"/>
        <v>-0.13809523809523816</v>
      </c>
      <c r="G11" s="275">
        <f t="shared" si="1"/>
        <v>-9.8526703499079105E-2</v>
      </c>
      <c r="H11" s="275">
        <f t="shared" si="1"/>
        <v>2.1450459652706755E-2</v>
      </c>
      <c r="I11" s="275">
        <f t="shared" ref="I11:P11" si="2">I10/H10-1</f>
        <v>1.0000000000000009E-2</v>
      </c>
      <c r="J11" s="275">
        <f t="shared" si="2"/>
        <v>-4.9504950495049549E-4</v>
      </c>
      <c r="K11" s="275">
        <f t="shared" si="2"/>
        <v>5.7949479940564652E-2</v>
      </c>
      <c r="L11" s="275">
        <f t="shared" si="2"/>
        <v>4.4943820224718989E-2</v>
      </c>
      <c r="M11" s="275">
        <f t="shared" si="2"/>
        <v>8.960573476702427E-3</v>
      </c>
      <c r="N11" s="275">
        <f t="shared" si="2"/>
        <v>-0.20603907637655405</v>
      </c>
      <c r="O11" s="275">
        <f t="shared" si="2"/>
        <v>0.15659955257270686</v>
      </c>
      <c r="P11" s="275">
        <f t="shared" si="2"/>
        <v>9.0909090909090828E-2</v>
      </c>
      <c r="Q11" s="277">
        <f>Q10/P10-1</f>
        <v>7.0035460992907916E-2</v>
      </c>
      <c r="R11" s="54"/>
      <c r="S11" s="54"/>
    </row>
    <row r="12" spans="1:19">
      <c r="A12" s="151" t="s">
        <v>3</v>
      </c>
      <c r="B12" s="141">
        <v>17.3</v>
      </c>
      <c r="C12" s="141">
        <v>17.3</v>
      </c>
      <c r="D12" s="142">
        <v>16.100000000000001</v>
      </c>
      <c r="E12" s="141">
        <v>15.5</v>
      </c>
      <c r="F12" s="143">
        <v>15.9</v>
      </c>
      <c r="G12" s="141">
        <v>15.8</v>
      </c>
      <c r="H12" s="141">
        <v>15.8</v>
      </c>
      <c r="I12" s="141">
        <v>16.100000000000001</v>
      </c>
      <c r="J12" s="141">
        <v>16.57</v>
      </c>
      <c r="K12" s="141">
        <v>17.100000000000001</v>
      </c>
      <c r="L12" s="141">
        <v>17.5</v>
      </c>
      <c r="M12" s="141">
        <v>17.3</v>
      </c>
      <c r="N12" s="141">
        <v>13.7</v>
      </c>
      <c r="O12" s="141">
        <v>14.3</v>
      </c>
      <c r="P12" s="141">
        <v>15.9</v>
      </c>
      <c r="Q12" s="143">
        <v>16.600000000000001</v>
      </c>
      <c r="R12" s="54"/>
      <c r="S12" s="54"/>
    </row>
    <row r="13" spans="1:19">
      <c r="A13" s="274" t="s">
        <v>141</v>
      </c>
      <c r="B13" s="275">
        <v>0.11612903225806459</v>
      </c>
      <c r="C13" s="275">
        <f t="shared" ref="C13:H13" si="3">C12/B12-1</f>
        <v>0</v>
      </c>
      <c r="D13" s="276">
        <f t="shared" si="3"/>
        <v>-6.9364161849710948E-2</v>
      </c>
      <c r="E13" s="275">
        <f t="shared" si="3"/>
        <v>-3.7267080745341685E-2</v>
      </c>
      <c r="F13" s="277">
        <f t="shared" si="3"/>
        <v>2.5806451612903292E-2</v>
      </c>
      <c r="G13" s="275">
        <f t="shared" si="3"/>
        <v>-6.2893081761006275E-3</v>
      </c>
      <c r="H13" s="275">
        <f t="shared" si="3"/>
        <v>0</v>
      </c>
      <c r="I13" s="275">
        <f t="shared" ref="I13:P13" si="4">I12/H12-1</f>
        <v>1.8987341772152E-2</v>
      </c>
      <c r="J13" s="275">
        <f t="shared" si="4"/>
        <v>2.9192546583850953E-2</v>
      </c>
      <c r="K13" s="275">
        <f t="shared" si="4"/>
        <v>3.1985515992758007E-2</v>
      </c>
      <c r="L13" s="275">
        <f t="shared" si="4"/>
        <v>2.3391812865497075E-2</v>
      </c>
      <c r="M13" s="275">
        <f t="shared" si="4"/>
        <v>-1.1428571428571344E-2</v>
      </c>
      <c r="N13" s="275">
        <f t="shared" si="4"/>
        <v>-0.20809248554913307</v>
      </c>
      <c r="O13" s="275">
        <f t="shared" si="4"/>
        <v>4.3795620437956373E-2</v>
      </c>
      <c r="P13" s="275">
        <f t="shared" si="4"/>
        <v>0.11188811188811187</v>
      </c>
      <c r="Q13" s="277">
        <f>Q12/P12-1</f>
        <v>4.4025157232704393E-2</v>
      </c>
      <c r="R13" s="54"/>
      <c r="S13" s="54"/>
    </row>
    <row r="14" spans="1:19">
      <c r="A14" s="151" t="s">
        <v>4</v>
      </c>
      <c r="B14" s="141">
        <v>79.8</v>
      </c>
      <c r="C14" s="141">
        <v>76.5</v>
      </c>
      <c r="D14" s="142">
        <v>75.2</v>
      </c>
      <c r="E14" s="141">
        <v>75.5</v>
      </c>
      <c r="F14" s="143">
        <v>70.900000000000006</v>
      </c>
      <c r="G14" s="141">
        <v>72.5</v>
      </c>
      <c r="H14" s="141">
        <v>72.8</v>
      </c>
      <c r="I14" s="141">
        <v>71.599999999999994</v>
      </c>
      <c r="J14" s="141">
        <v>70.33</v>
      </c>
      <c r="K14" s="141">
        <v>71</v>
      </c>
      <c r="L14" s="141">
        <v>73</v>
      </c>
      <c r="M14" s="141">
        <v>77</v>
      </c>
      <c r="N14" s="141">
        <v>67.900000000000006</v>
      </c>
      <c r="O14" s="141">
        <v>75.400000000000006</v>
      </c>
      <c r="P14" s="141">
        <v>83</v>
      </c>
      <c r="Q14" s="143">
        <v>85.1</v>
      </c>
      <c r="R14" s="54"/>
      <c r="S14" s="54"/>
    </row>
    <row r="15" spans="1:19">
      <c r="A15" s="274" t="s">
        <v>141</v>
      </c>
      <c r="B15" s="275">
        <v>-3.7453183520599342E-3</v>
      </c>
      <c r="C15" s="275">
        <f t="shared" ref="C15:H15" si="5">C14/B14-1</f>
        <v>-4.1353383458646586E-2</v>
      </c>
      <c r="D15" s="276">
        <f t="shared" si="5"/>
        <v>-1.6993464052287521E-2</v>
      </c>
      <c r="E15" s="275">
        <f t="shared" si="5"/>
        <v>3.9893617021276029E-3</v>
      </c>
      <c r="F15" s="277">
        <f t="shared" si="5"/>
        <v>-6.0927152317880706E-2</v>
      </c>
      <c r="G15" s="275">
        <f t="shared" si="5"/>
        <v>2.2566995768688258E-2</v>
      </c>
      <c r="H15" s="275">
        <f t="shared" si="5"/>
        <v>4.1379310344826781E-3</v>
      </c>
      <c r="I15" s="275">
        <f t="shared" ref="I15:P15" si="6">I14/H14-1</f>
        <v>-1.6483516483516536E-2</v>
      </c>
      <c r="J15" s="275">
        <f t="shared" si="6"/>
        <v>-1.7737430167597656E-2</v>
      </c>
      <c r="K15" s="275">
        <f t="shared" si="6"/>
        <v>9.5265178444476906E-3</v>
      </c>
      <c r="L15" s="275">
        <f t="shared" si="6"/>
        <v>2.8169014084507005E-2</v>
      </c>
      <c r="M15" s="275">
        <f t="shared" si="6"/>
        <v>5.4794520547945202E-2</v>
      </c>
      <c r="N15" s="275">
        <f t="shared" si="6"/>
        <v>-0.11818181818181805</v>
      </c>
      <c r="O15" s="275">
        <f t="shared" si="6"/>
        <v>0.11045655375552288</v>
      </c>
      <c r="P15" s="275">
        <f t="shared" si="6"/>
        <v>0.10079575596816959</v>
      </c>
      <c r="Q15" s="277">
        <f>Q14/P14-1</f>
        <v>2.5301204819277112E-2</v>
      </c>
      <c r="R15" s="54"/>
      <c r="S15" s="54"/>
    </row>
    <row r="16" spans="1:19">
      <c r="A16" s="151" t="s">
        <v>5</v>
      </c>
      <c r="B16" s="141">
        <v>268.39999999999998</v>
      </c>
      <c r="C16" s="141">
        <v>330.3</v>
      </c>
      <c r="D16" s="142">
        <v>323</v>
      </c>
      <c r="E16" s="141">
        <v>320.3</v>
      </c>
      <c r="F16" s="143">
        <v>309</v>
      </c>
      <c r="G16" s="141">
        <v>289.8</v>
      </c>
      <c r="H16" s="141">
        <v>259.89999999999998</v>
      </c>
      <c r="I16" s="141">
        <v>265.7</v>
      </c>
      <c r="J16" s="141">
        <v>257.69</v>
      </c>
      <c r="K16" s="141">
        <v>256.5</v>
      </c>
      <c r="L16" s="141">
        <v>255</v>
      </c>
      <c r="M16" s="141">
        <v>261.10000000000002</v>
      </c>
      <c r="N16" s="141">
        <v>224.7</v>
      </c>
      <c r="O16" s="141">
        <v>254.5</v>
      </c>
      <c r="P16" s="141">
        <v>277.39999999999998</v>
      </c>
      <c r="Q16" s="143">
        <v>253.5</v>
      </c>
      <c r="R16" s="54"/>
      <c r="S16" s="54"/>
    </row>
    <row r="17" spans="1:19">
      <c r="A17" s="274" t="s">
        <v>141</v>
      </c>
      <c r="B17" s="275">
        <v>4.2735042735042805E-2</v>
      </c>
      <c r="C17" s="275">
        <f t="shared" ref="C17:H17" si="7">C16/B16-1</f>
        <v>0.23062593144560362</v>
      </c>
      <c r="D17" s="276">
        <f t="shared" si="7"/>
        <v>-2.2101120193763313E-2</v>
      </c>
      <c r="E17" s="275">
        <f t="shared" si="7"/>
        <v>-8.3591331269349256E-3</v>
      </c>
      <c r="F17" s="277">
        <f t="shared" si="7"/>
        <v>-3.5279425538557674E-2</v>
      </c>
      <c r="G17" s="275">
        <f t="shared" si="7"/>
        <v>-6.2135922330097015E-2</v>
      </c>
      <c r="H17" s="275">
        <f t="shared" si="7"/>
        <v>-0.10317460317460325</v>
      </c>
      <c r="I17" s="275">
        <f t="shared" ref="I17:P17" si="8">I16/H16-1</f>
        <v>2.2316275490573245E-2</v>
      </c>
      <c r="J17" s="275">
        <f t="shared" si="8"/>
        <v>-3.0146782085058277E-2</v>
      </c>
      <c r="K17" s="275">
        <f t="shared" si="8"/>
        <v>-4.6179518025534216E-3</v>
      </c>
      <c r="L17" s="275">
        <f t="shared" si="8"/>
        <v>-5.8479532163743242E-3</v>
      </c>
      <c r="M17" s="275">
        <f t="shared" si="8"/>
        <v>2.3921568627450984E-2</v>
      </c>
      <c r="N17" s="275">
        <f t="shared" si="8"/>
        <v>-0.13941018766756041</v>
      </c>
      <c r="O17" s="275">
        <f t="shared" si="8"/>
        <v>0.13262127280818881</v>
      </c>
      <c r="P17" s="275">
        <f t="shared" si="8"/>
        <v>8.998035363457757E-2</v>
      </c>
      <c r="Q17" s="277">
        <f>Q16/P16-1</f>
        <v>-8.6157173756308492E-2</v>
      </c>
      <c r="R17" s="54"/>
      <c r="S17" s="54"/>
    </row>
    <row r="18" spans="1:19">
      <c r="A18" s="151" t="s">
        <v>6</v>
      </c>
      <c r="B18" s="141">
        <v>80.5</v>
      </c>
      <c r="C18" s="141">
        <v>80.400000000000006</v>
      </c>
      <c r="D18" s="142">
        <v>84</v>
      </c>
      <c r="E18" s="141">
        <v>85.4</v>
      </c>
      <c r="F18" s="143">
        <v>82.4</v>
      </c>
      <c r="G18" s="141">
        <v>83</v>
      </c>
      <c r="H18" s="141">
        <v>77.099999999999994</v>
      </c>
      <c r="I18" s="141">
        <v>76.8</v>
      </c>
      <c r="J18" s="141">
        <v>75.03</v>
      </c>
      <c r="K18" s="141">
        <v>74.900000000000006</v>
      </c>
      <c r="L18" s="141">
        <v>75.400000000000006</v>
      </c>
      <c r="M18" s="141">
        <v>71.400000000000006</v>
      </c>
      <c r="N18" s="141">
        <v>65.7</v>
      </c>
      <c r="O18" s="141">
        <v>62.9</v>
      </c>
      <c r="P18" s="141">
        <v>68.400000000000006</v>
      </c>
      <c r="Q18" s="143">
        <v>69.5</v>
      </c>
      <c r="R18" s="54"/>
      <c r="S18" s="54"/>
    </row>
    <row r="19" spans="1:19">
      <c r="A19" s="274" t="s">
        <v>141</v>
      </c>
      <c r="B19" s="275">
        <v>1.6414141414141437E-2</v>
      </c>
      <c r="C19" s="275">
        <f t="shared" ref="C19:H19" si="9">C18/B18-1</f>
        <v>-1.242236024844634E-3</v>
      </c>
      <c r="D19" s="276">
        <f t="shared" si="9"/>
        <v>4.4776119402984982E-2</v>
      </c>
      <c r="E19" s="275">
        <f t="shared" si="9"/>
        <v>1.6666666666666829E-2</v>
      </c>
      <c r="F19" s="277">
        <f t="shared" si="9"/>
        <v>-3.5128805620608938E-2</v>
      </c>
      <c r="G19" s="275">
        <f t="shared" si="9"/>
        <v>7.2815533980581382E-3</v>
      </c>
      <c r="H19" s="275">
        <f t="shared" si="9"/>
        <v>-7.1084337349397675E-2</v>
      </c>
      <c r="I19" s="275">
        <f t="shared" ref="I19:P19" si="10">I18/H18-1</f>
        <v>-3.8910505836575737E-3</v>
      </c>
      <c r="J19" s="275">
        <f t="shared" si="10"/>
        <v>-2.3046874999999911E-2</v>
      </c>
      <c r="K19" s="275">
        <f t="shared" si="10"/>
        <v>-1.7326402772224192E-3</v>
      </c>
      <c r="L19" s="275">
        <f t="shared" si="10"/>
        <v>6.6755674232310547E-3</v>
      </c>
      <c r="M19" s="275">
        <f t="shared" si="10"/>
        <v>-5.3050397877984046E-2</v>
      </c>
      <c r="N19" s="275">
        <f t="shared" si="10"/>
        <v>-7.9831932773109293E-2</v>
      </c>
      <c r="O19" s="275">
        <f t="shared" si="10"/>
        <v>-4.2617960426179713E-2</v>
      </c>
      <c r="P19" s="275">
        <f t="shared" si="10"/>
        <v>8.744038155802869E-2</v>
      </c>
      <c r="Q19" s="277">
        <f>Q18/P18-1</f>
        <v>1.6081871345029253E-2</v>
      </c>
      <c r="R19" s="54"/>
      <c r="S19" s="54"/>
    </row>
    <row r="20" spans="1:19">
      <c r="A20" s="151" t="s">
        <v>208</v>
      </c>
      <c r="B20" s="141"/>
      <c r="C20" s="141"/>
      <c r="D20" s="142"/>
      <c r="E20" s="141"/>
      <c r="F20" s="143"/>
      <c r="G20" s="141"/>
      <c r="H20" s="141"/>
      <c r="I20" s="141"/>
      <c r="J20" s="141"/>
      <c r="K20" s="141"/>
      <c r="L20" s="141"/>
      <c r="M20" s="141"/>
      <c r="N20" s="141"/>
      <c r="O20" s="141"/>
      <c r="P20" s="141"/>
      <c r="Q20" s="143">
        <v>0.1</v>
      </c>
      <c r="R20" s="54"/>
      <c r="S20" s="54"/>
    </row>
    <row r="21" spans="1:19">
      <c r="A21" s="274" t="s">
        <v>141</v>
      </c>
      <c r="B21" s="275"/>
      <c r="C21" s="275"/>
      <c r="D21" s="276"/>
      <c r="E21" s="275"/>
      <c r="F21" s="277"/>
      <c r="G21" s="275"/>
      <c r="H21" s="275"/>
      <c r="I21" s="275"/>
      <c r="J21" s="275"/>
      <c r="K21" s="275"/>
      <c r="L21" s="275"/>
      <c r="M21" s="275"/>
      <c r="N21" s="275"/>
      <c r="O21" s="275"/>
      <c r="P21" s="275"/>
      <c r="Q21" s="277" t="s">
        <v>168</v>
      </c>
      <c r="R21" s="54"/>
      <c r="S21" s="54"/>
    </row>
    <row r="22" spans="1:19">
      <c r="A22" s="152" t="s">
        <v>118</v>
      </c>
      <c r="B22" s="144">
        <v>692.1</v>
      </c>
      <c r="C22" s="144">
        <v>743.2</v>
      </c>
      <c r="D22" s="145">
        <f t="shared" ref="D22:I22" si="11">+D18+D16+D14+D12+D10+D8</f>
        <v>731.69999999999993</v>
      </c>
      <c r="E22" s="144">
        <f t="shared" si="11"/>
        <v>713.5</v>
      </c>
      <c r="F22" s="146">
        <f t="shared" si="11"/>
        <v>679.4</v>
      </c>
      <c r="G22" s="144">
        <f t="shared" si="11"/>
        <v>650.6</v>
      </c>
      <c r="H22" s="144">
        <f t="shared" si="11"/>
        <v>615.20000000000005</v>
      </c>
      <c r="I22" s="144">
        <f t="shared" si="11"/>
        <v>621.1</v>
      </c>
      <c r="J22" s="144">
        <f t="shared" ref="J22:O22" si="12">+J18+J16+J14+J12+J10+J8</f>
        <v>606.61</v>
      </c>
      <c r="K22" s="144">
        <f t="shared" si="12"/>
        <v>613.29999999999995</v>
      </c>
      <c r="L22" s="144">
        <f t="shared" si="12"/>
        <v>619.5</v>
      </c>
      <c r="M22" s="144">
        <f t="shared" si="12"/>
        <v>624.5</v>
      </c>
      <c r="N22" s="144">
        <f t="shared" si="12"/>
        <v>536.9</v>
      </c>
      <c r="O22" s="144">
        <f t="shared" si="12"/>
        <v>589.9</v>
      </c>
      <c r="P22" s="144">
        <v>643.9</v>
      </c>
      <c r="Q22" s="146">
        <v>628.70000000000005</v>
      </c>
      <c r="R22" s="54"/>
      <c r="S22" s="54"/>
    </row>
    <row r="23" spans="1:19" ht="14.5" thickBot="1">
      <c r="A23" s="153" t="s">
        <v>141</v>
      </c>
      <c r="B23" s="154">
        <v>1.9893899204244114E-2</v>
      </c>
      <c r="C23" s="154">
        <f t="shared" ref="C23:H23" si="13">C22/B22-1</f>
        <v>7.3833261089437885E-2</v>
      </c>
      <c r="D23" s="155">
        <f t="shared" si="13"/>
        <v>-1.5473627556512493E-2</v>
      </c>
      <c r="E23" s="154">
        <f t="shared" si="13"/>
        <v>-2.487358206915391E-2</v>
      </c>
      <c r="F23" s="156">
        <f t="shared" si="13"/>
        <v>-4.7792571829011976E-2</v>
      </c>
      <c r="G23" s="154">
        <f t="shared" si="13"/>
        <v>-4.239034442154832E-2</v>
      </c>
      <c r="H23" s="154">
        <f t="shared" si="13"/>
        <v>-5.4411312634491171E-2</v>
      </c>
      <c r="I23" s="154">
        <f t="shared" ref="I23:P23" si="14">I22/H22-1</f>
        <v>9.5903771131338189E-3</v>
      </c>
      <c r="J23" s="154">
        <f t="shared" si="14"/>
        <v>-2.3329576557720166E-2</v>
      </c>
      <c r="K23" s="154">
        <f t="shared" si="14"/>
        <v>1.1028502662336459E-2</v>
      </c>
      <c r="L23" s="154">
        <f t="shared" si="14"/>
        <v>1.010924506766675E-2</v>
      </c>
      <c r="M23" s="154">
        <f t="shared" si="14"/>
        <v>8.0710250201776468E-3</v>
      </c>
      <c r="N23" s="154">
        <f t="shared" si="14"/>
        <v>-0.14027221777421939</v>
      </c>
      <c r="O23" s="154">
        <f t="shared" si="14"/>
        <v>9.8714844477556296E-2</v>
      </c>
      <c r="P23" s="154">
        <f t="shared" si="14"/>
        <v>9.1540939142227495E-2</v>
      </c>
      <c r="Q23" s="156">
        <f>Q22/P22-1</f>
        <v>-2.3606150023295469E-2</v>
      </c>
      <c r="R23" s="54"/>
      <c r="S23" s="54"/>
    </row>
    <row r="24" spans="1:19" ht="4.5" customHeight="1" thickBot="1">
      <c r="A24" s="132"/>
      <c r="B24" s="132"/>
      <c r="C24" s="132"/>
      <c r="D24" s="133"/>
      <c r="E24" s="133"/>
      <c r="F24" s="133"/>
      <c r="G24" s="133"/>
      <c r="H24" s="133"/>
      <c r="I24" s="133"/>
      <c r="J24" s="133"/>
      <c r="K24" s="133"/>
      <c r="L24" s="133"/>
      <c r="M24" s="133"/>
      <c r="N24" s="133"/>
      <c r="O24" s="133"/>
      <c r="P24" s="133"/>
      <c r="Q24" s="133"/>
      <c r="R24" s="54"/>
      <c r="S24" s="54"/>
    </row>
    <row r="25" spans="1:19">
      <c r="A25" s="147" t="s">
        <v>7</v>
      </c>
      <c r="B25" s="148"/>
      <c r="C25" s="148"/>
      <c r="D25" s="149"/>
      <c r="E25" s="148"/>
      <c r="F25" s="150"/>
      <c r="G25" s="148"/>
      <c r="H25" s="148"/>
      <c r="I25" s="148"/>
      <c r="J25" s="148"/>
      <c r="K25" s="148"/>
      <c r="L25" s="148"/>
      <c r="M25" s="148"/>
      <c r="N25" s="148"/>
      <c r="O25" s="148"/>
      <c r="P25" s="148"/>
      <c r="Q25" s="150"/>
      <c r="R25" s="54"/>
      <c r="S25" s="54"/>
    </row>
    <row r="26" spans="1:19">
      <c r="A26" s="151" t="s">
        <v>8</v>
      </c>
      <c r="B26" s="141">
        <v>30</v>
      </c>
      <c r="C26" s="141">
        <v>28.4</v>
      </c>
      <c r="D26" s="142">
        <v>27.3</v>
      </c>
      <c r="E26" s="141">
        <v>26.8</v>
      </c>
      <c r="F26" s="143">
        <v>26.5</v>
      </c>
      <c r="G26" s="141">
        <v>26</v>
      </c>
      <c r="H26" s="141">
        <v>23.9</v>
      </c>
      <c r="I26" s="141">
        <v>24.6</v>
      </c>
      <c r="J26" s="141">
        <v>25.04</v>
      </c>
      <c r="K26" s="141">
        <v>26.7</v>
      </c>
      <c r="L26" s="141">
        <v>28.7</v>
      </c>
      <c r="M26" s="141">
        <v>28.6</v>
      </c>
      <c r="N26" s="141">
        <v>22.7</v>
      </c>
      <c r="O26" s="141">
        <v>28.1</v>
      </c>
      <c r="P26" s="141">
        <v>31.9</v>
      </c>
      <c r="Q26" s="143">
        <v>32.700000000000003</v>
      </c>
      <c r="R26" s="54"/>
      <c r="S26" s="54"/>
    </row>
    <row r="27" spans="1:19">
      <c r="A27" s="274" t="s">
        <v>141</v>
      </c>
      <c r="B27" s="275">
        <v>2.7397260273972712E-2</v>
      </c>
      <c r="C27" s="275">
        <f t="shared" ref="C27:P41" si="15">C26/B26-1</f>
        <v>-5.3333333333333344E-2</v>
      </c>
      <c r="D27" s="276">
        <f t="shared" si="15"/>
        <v>-3.8732394366197131E-2</v>
      </c>
      <c r="E27" s="275">
        <f t="shared" si="15"/>
        <v>-1.8315018315018361E-2</v>
      </c>
      <c r="F27" s="277">
        <f t="shared" si="15"/>
        <v>-1.1194029850746245E-2</v>
      </c>
      <c r="G27" s="275">
        <f t="shared" si="15"/>
        <v>-1.8867924528301883E-2</v>
      </c>
      <c r="H27" s="275">
        <f t="shared" si="15"/>
        <v>-8.0769230769230815E-2</v>
      </c>
      <c r="I27" s="275">
        <f t="shared" si="15"/>
        <v>2.9288702928870425E-2</v>
      </c>
      <c r="J27" s="275">
        <f t="shared" si="15"/>
        <v>1.788617886178856E-2</v>
      </c>
      <c r="K27" s="275">
        <f t="shared" si="15"/>
        <v>6.6293929712460065E-2</v>
      </c>
      <c r="L27" s="275">
        <f t="shared" si="15"/>
        <v>7.4906367041198463E-2</v>
      </c>
      <c r="M27" s="275">
        <f t="shared" si="15"/>
        <v>-3.4843205574912606E-3</v>
      </c>
      <c r="N27" s="275">
        <f t="shared" si="15"/>
        <v>-0.20629370629370636</v>
      </c>
      <c r="O27" s="275">
        <f t="shared" si="15"/>
        <v>0.23788546255506615</v>
      </c>
      <c r="P27" s="275">
        <f t="shared" si="15"/>
        <v>0.13523131672597843</v>
      </c>
      <c r="Q27" s="277">
        <f>Q26/P26-1</f>
        <v>2.5078369905956244E-2</v>
      </c>
      <c r="R27" s="54"/>
      <c r="S27" s="54"/>
    </row>
    <row r="28" spans="1:19">
      <c r="A28" s="151" t="s">
        <v>9</v>
      </c>
      <c r="B28" s="141">
        <v>56.7</v>
      </c>
      <c r="C28" s="141">
        <v>54.3</v>
      </c>
      <c r="D28" s="142">
        <v>58.2</v>
      </c>
      <c r="E28" s="141">
        <v>58.4</v>
      </c>
      <c r="F28" s="143">
        <v>56</v>
      </c>
      <c r="G28" s="141">
        <v>55.3</v>
      </c>
      <c r="H28" s="141">
        <v>49.1</v>
      </c>
      <c r="I28" s="141">
        <v>51.1</v>
      </c>
      <c r="J28" s="141">
        <v>50.69</v>
      </c>
      <c r="K28" s="141">
        <v>53.7</v>
      </c>
      <c r="L28" s="141">
        <v>55.9</v>
      </c>
      <c r="M28" s="141">
        <v>53.9</v>
      </c>
      <c r="N28" s="141">
        <v>50.8</v>
      </c>
      <c r="O28" s="141">
        <v>51.1</v>
      </c>
      <c r="P28" s="141">
        <v>60.2</v>
      </c>
      <c r="Q28" s="143">
        <v>52.6</v>
      </c>
      <c r="R28" s="54"/>
      <c r="S28" s="54"/>
    </row>
    <row r="29" spans="1:19">
      <c r="A29" s="274" t="s">
        <v>141</v>
      </c>
      <c r="B29" s="275">
        <v>-2.910958904109584E-2</v>
      </c>
      <c r="C29" s="275">
        <f t="shared" ref="C29:H29" si="16">C28/B28-1</f>
        <v>-4.2328042328042437E-2</v>
      </c>
      <c r="D29" s="276">
        <f t="shared" si="16"/>
        <v>7.1823204419889652E-2</v>
      </c>
      <c r="E29" s="275">
        <f t="shared" si="16"/>
        <v>3.4364261168384758E-3</v>
      </c>
      <c r="F29" s="277">
        <f t="shared" si="16"/>
        <v>-4.1095890410958846E-2</v>
      </c>
      <c r="G29" s="275">
        <f t="shared" si="16"/>
        <v>-1.2500000000000067E-2</v>
      </c>
      <c r="H29" s="275">
        <f t="shared" si="16"/>
        <v>-0.11211573236889683</v>
      </c>
      <c r="I29" s="275">
        <f>I28/H28-1</f>
        <v>4.0733197556008127E-2</v>
      </c>
      <c r="J29" s="275">
        <f>J28/I28-1</f>
        <v>-8.0234833659491578E-3</v>
      </c>
      <c r="K29" s="275">
        <f>K28/J28-1</f>
        <v>5.9380548431643421E-2</v>
      </c>
      <c r="L29" s="275">
        <f t="shared" si="15"/>
        <v>4.0968342644320144E-2</v>
      </c>
      <c r="M29" s="275">
        <f t="shared" si="15"/>
        <v>-3.5778175313059046E-2</v>
      </c>
      <c r="N29" s="275">
        <f t="shared" si="15"/>
        <v>-5.7513914656771803E-2</v>
      </c>
      <c r="O29" s="275">
        <f t="shared" si="15"/>
        <v>5.9055118110236116E-3</v>
      </c>
      <c r="P29" s="275">
        <f t="shared" si="15"/>
        <v>0.17808219178082196</v>
      </c>
      <c r="Q29" s="277">
        <f>Q28/P28-1</f>
        <v>-0.12624584717607978</v>
      </c>
      <c r="R29" s="54"/>
      <c r="S29" s="54"/>
    </row>
    <row r="30" spans="1:19">
      <c r="A30" s="151" t="s">
        <v>10</v>
      </c>
      <c r="B30" s="141">
        <v>27.6</v>
      </c>
      <c r="C30" s="141">
        <v>21.4</v>
      </c>
      <c r="D30" s="142">
        <v>21.5</v>
      </c>
      <c r="E30" s="141">
        <v>22.5</v>
      </c>
      <c r="F30" s="143">
        <v>23.9</v>
      </c>
      <c r="G30" s="141">
        <v>25.5</v>
      </c>
      <c r="H30" s="141">
        <v>26</v>
      </c>
      <c r="I30" s="141">
        <v>26.1</v>
      </c>
      <c r="J30" s="141">
        <v>28.1</v>
      </c>
      <c r="K30" s="141">
        <v>26.5</v>
      </c>
      <c r="L30" s="141">
        <v>32</v>
      </c>
      <c r="M30" s="141">
        <v>33.299999999999997</v>
      </c>
      <c r="N30" s="141">
        <v>33</v>
      </c>
      <c r="O30" s="141">
        <v>33.1</v>
      </c>
      <c r="P30" s="141">
        <v>37</v>
      </c>
      <c r="Q30" s="143">
        <v>38.1</v>
      </c>
      <c r="R30" s="54"/>
      <c r="S30" s="54"/>
    </row>
    <row r="31" spans="1:19">
      <c r="A31" s="274" t="s">
        <v>141</v>
      </c>
      <c r="B31" s="275">
        <v>-3.6101083032490378E-3</v>
      </c>
      <c r="C31" s="275">
        <f t="shared" ref="C31:H31" si="17">C30/B30-1</f>
        <v>-0.2246376811594204</v>
      </c>
      <c r="D31" s="276">
        <f t="shared" si="17"/>
        <v>4.6728971962617383E-3</v>
      </c>
      <c r="E31" s="275">
        <f t="shared" si="17"/>
        <v>4.6511627906976827E-2</v>
      </c>
      <c r="F31" s="277">
        <f t="shared" si="17"/>
        <v>6.2222222222222179E-2</v>
      </c>
      <c r="G31" s="275">
        <f t="shared" si="17"/>
        <v>6.6945606694560622E-2</v>
      </c>
      <c r="H31" s="275">
        <f t="shared" si="17"/>
        <v>1.9607843137254832E-2</v>
      </c>
      <c r="I31" s="275">
        <f>I30/H30-1</f>
        <v>3.8461538461538325E-3</v>
      </c>
      <c r="J31" s="275">
        <f>J30/I30-1</f>
        <v>7.6628352490421436E-2</v>
      </c>
      <c r="K31" s="275">
        <f>K30/J30-1</f>
        <v>-5.6939501779359469E-2</v>
      </c>
      <c r="L31" s="275">
        <f t="shared" si="15"/>
        <v>0.20754716981132071</v>
      </c>
      <c r="M31" s="275">
        <f t="shared" si="15"/>
        <v>4.0624999999999911E-2</v>
      </c>
      <c r="N31" s="275">
        <f t="shared" si="15"/>
        <v>-9.009009009008917E-3</v>
      </c>
      <c r="O31" s="275">
        <f t="shared" si="15"/>
        <v>3.0303030303031608E-3</v>
      </c>
      <c r="P31" s="275">
        <f t="shared" si="15"/>
        <v>0.1178247734138973</v>
      </c>
      <c r="Q31" s="277">
        <f>Q30/P30-1</f>
        <v>2.972972972972987E-2</v>
      </c>
      <c r="R31" s="54"/>
      <c r="S31" s="54"/>
    </row>
    <row r="32" spans="1:19">
      <c r="A32" s="151" t="s">
        <v>11</v>
      </c>
      <c r="B32" s="141">
        <v>91.8</v>
      </c>
      <c r="C32" s="141">
        <v>87.3</v>
      </c>
      <c r="D32" s="142">
        <v>85.1</v>
      </c>
      <c r="E32" s="141">
        <v>86.1</v>
      </c>
      <c r="F32" s="143">
        <v>83.2</v>
      </c>
      <c r="G32" s="141">
        <v>77.900000000000006</v>
      </c>
      <c r="H32" s="141">
        <v>77.5</v>
      </c>
      <c r="I32" s="141">
        <v>83.8</v>
      </c>
      <c r="J32" s="141">
        <v>84.51</v>
      </c>
      <c r="K32" s="141">
        <v>90.2</v>
      </c>
      <c r="L32" s="141">
        <v>96.6</v>
      </c>
      <c r="M32" s="141">
        <v>94.9</v>
      </c>
      <c r="N32" s="141">
        <v>82.1</v>
      </c>
      <c r="O32" s="141">
        <v>91.9</v>
      </c>
      <c r="P32" s="141">
        <v>102.7</v>
      </c>
      <c r="Q32" s="143">
        <v>97.3</v>
      </c>
      <c r="R32" s="54"/>
      <c r="S32" s="54"/>
    </row>
    <row r="33" spans="1:19">
      <c r="A33" s="274" t="s">
        <v>141</v>
      </c>
      <c r="B33" s="275">
        <v>3.8461538461538325E-2</v>
      </c>
      <c r="C33" s="275">
        <f t="shared" ref="C33:H33" si="18">C32/B32-1</f>
        <v>-4.9019607843137303E-2</v>
      </c>
      <c r="D33" s="276">
        <f t="shared" si="18"/>
        <v>-2.5200458190148933E-2</v>
      </c>
      <c r="E33" s="275">
        <f t="shared" si="18"/>
        <v>1.1750881316098694E-2</v>
      </c>
      <c r="F33" s="277">
        <f t="shared" si="18"/>
        <v>-3.3681765389082408E-2</v>
      </c>
      <c r="G33" s="275">
        <f t="shared" si="18"/>
        <v>-6.3701923076923017E-2</v>
      </c>
      <c r="H33" s="275">
        <f t="shared" si="18"/>
        <v>-5.1347881899872494E-3</v>
      </c>
      <c r="I33" s="275">
        <f>I32/H32-1</f>
        <v>8.1290322580645169E-2</v>
      </c>
      <c r="J33" s="275">
        <f>J32/I32-1</f>
        <v>8.4725536992840134E-3</v>
      </c>
      <c r="K33" s="275">
        <f>K32/J32-1</f>
        <v>6.7329310140811671E-2</v>
      </c>
      <c r="L33" s="275">
        <f t="shared" si="15"/>
        <v>7.0953436807095205E-2</v>
      </c>
      <c r="M33" s="275">
        <f t="shared" si="15"/>
        <v>-1.7598343685300111E-2</v>
      </c>
      <c r="N33" s="275">
        <f t="shared" si="15"/>
        <v>-0.13487881981032679</v>
      </c>
      <c r="O33" s="275">
        <f t="shared" si="15"/>
        <v>0.11936662606577353</v>
      </c>
      <c r="P33" s="275">
        <f t="shared" si="15"/>
        <v>0.11751904243743194</v>
      </c>
      <c r="Q33" s="277">
        <f>Q32/P32-1</f>
        <v>-5.2580331061343744E-2</v>
      </c>
      <c r="R33" s="54"/>
      <c r="S33" s="54"/>
    </row>
    <row r="34" spans="1:19">
      <c r="A34" s="151" t="s">
        <v>12</v>
      </c>
      <c r="B34" s="141">
        <v>171.4</v>
      </c>
      <c r="C34" s="141">
        <v>167.7</v>
      </c>
      <c r="D34" s="142">
        <v>168.6</v>
      </c>
      <c r="E34" s="141">
        <v>173.5</v>
      </c>
      <c r="F34" s="143">
        <v>172.6</v>
      </c>
      <c r="G34" s="141">
        <v>167</v>
      </c>
      <c r="H34" s="141">
        <v>155.19999999999999</v>
      </c>
      <c r="I34" s="141">
        <v>165.8</v>
      </c>
      <c r="J34" s="141">
        <v>167.74</v>
      </c>
      <c r="K34" s="141">
        <v>170.2</v>
      </c>
      <c r="L34" s="141">
        <v>187</v>
      </c>
      <c r="M34" s="141">
        <v>189.6</v>
      </c>
      <c r="N34" s="141">
        <v>195.2</v>
      </c>
      <c r="O34" s="141">
        <v>180</v>
      </c>
      <c r="P34" s="141">
        <v>213.4</v>
      </c>
      <c r="Q34" s="143">
        <v>216.6</v>
      </c>
      <c r="R34" s="54"/>
      <c r="S34" s="54"/>
    </row>
    <row r="35" spans="1:19">
      <c r="A35" s="274" t="s">
        <v>141</v>
      </c>
      <c r="B35" s="275">
        <v>0.12837393021724819</v>
      </c>
      <c r="C35" s="275">
        <f t="shared" ref="C35:H35" si="19">C34/B34-1</f>
        <v>-2.1586931155192612E-2</v>
      </c>
      <c r="D35" s="276">
        <f t="shared" si="19"/>
        <v>5.3667262969587792E-3</v>
      </c>
      <c r="E35" s="275">
        <f t="shared" si="19"/>
        <v>2.9062870699881449E-2</v>
      </c>
      <c r="F35" s="277">
        <f t="shared" si="19"/>
        <v>-5.1873198847262048E-3</v>
      </c>
      <c r="G35" s="275">
        <f t="shared" si="19"/>
        <v>-3.2444959443800658E-2</v>
      </c>
      <c r="H35" s="275">
        <f t="shared" si="19"/>
        <v>-7.065868263473063E-2</v>
      </c>
      <c r="I35" s="275">
        <f>I34/H34-1</f>
        <v>6.829896907216515E-2</v>
      </c>
      <c r="J35" s="275">
        <f>J34/I34-1</f>
        <v>1.170084439083241E-2</v>
      </c>
      <c r="K35" s="275">
        <f>K34/J34-1</f>
        <v>1.4665553833313361E-2</v>
      </c>
      <c r="L35" s="275">
        <f t="shared" si="15"/>
        <v>9.8707403055229292E-2</v>
      </c>
      <c r="M35" s="275">
        <f t="shared" si="15"/>
        <v>1.3903743315508033E-2</v>
      </c>
      <c r="N35" s="275">
        <f t="shared" si="15"/>
        <v>2.9535864978902815E-2</v>
      </c>
      <c r="O35" s="275">
        <f t="shared" si="15"/>
        <v>-7.7868852459016313E-2</v>
      </c>
      <c r="P35" s="275">
        <f t="shared" si="15"/>
        <v>0.1855555555555557</v>
      </c>
      <c r="Q35" s="277">
        <f>Q34/P34-1</f>
        <v>1.4995313964386137E-2</v>
      </c>
      <c r="R35" s="54"/>
      <c r="S35" s="54"/>
    </row>
    <row r="36" spans="1:19">
      <c r="A36" s="151" t="s">
        <v>13</v>
      </c>
      <c r="B36" s="141">
        <v>22.4</v>
      </c>
      <c r="C36" s="141">
        <v>22.5</v>
      </c>
      <c r="D36" s="142">
        <v>24.2</v>
      </c>
      <c r="E36" s="141">
        <v>25.4</v>
      </c>
      <c r="F36" s="143">
        <v>24.5</v>
      </c>
      <c r="G36" s="141">
        <v>22.9</v>
      </c>
      <c r="H36" s="141">
        <v>20.7</v>
      </c>
      <c r="I36" s="141">
        <v>21.3</v>
      </c>
      <c r="J36" s="141">
        <v>21.05</v>
      </c>
      <c r="K36" s="141">
        <v>20.3</v>
      </c>
      <c r="L36" s="141">
        <v>21.9</v>
      </c>
      <c r="M36" s="141">
        <v>23.5</v>
      </c>
      <c r="N36" s="141">
        <v>21.5</v>
      </c>
      <c r="O36" s="141">
        <v>23.2</v>
      </c>
      <c r="P36" s="141">
        <v>24.5</v>
      </c>
      <c r="Q36" s="143">
        <v>24.5</v>
      </c>
      <c r="R36" s="54"/>
      <c r="S36" s="54"/>
    </row>
    <row r="37" spans="1:19">
      <c r="A37" s="274" t="s">
        <v>141</v>
      </c>
      <c r="B37" s="275">
        <v>9.2682926829268153E-2</v>
      </c>
      <c r="C37" s="275">
        <f t="shared" ref="C37:H37" si="20">C36/B36-1</f>
        <v>4.4642857142858094E-3</v>
      </c>
      <c r="D37" s="276">
        <f t="shared" si="20"/>
        <v>7.5555555555555598E-2</v>
      </c>
      <c r="E37" s="275">
        <f t="shared" si="20"/>
        <v>4.9586776859504189E-2</v>
      </c>
      <c r="F37" s="277">
        <f t="shared" si="20"/>
        <v>-3.5433070866141669E-2</v>
      </c>
      <c r="G37" s="275">
        <f t="shared" si="20"/>
        <v>-6.5306122448979598E-2</v>
      </c>
      <c r="H37" s="275">
        <f t="shared" si="20"/>
        <v>-9.606986899563319E-2</v>
      </c>
      <c r="I37" s="275">
        <f>I36/H36-1</f>
        <v>2.898550724637694E-2</v>
      </c>
      <c r="J37" s="275">
        <f>J36/I36-1</f>
        <v>-1.1737089201877882E-2</v>
      </c>
      <c r="K37" s="275">
        <f>K36/J36-1</f>
        <v>-3.5629453681710221E-2</v>
      </c>
      <c r="L37" s="275">
        <f t="shared" si="15"/>
        <v>7.8817733990147687E-2</v>
      </c>
      <c r="M37" s="275">
        <f t="shared" si="15"/>
        <v>7.3059360730593603E-2</v>
      </c>
      <c r="N37" s="275">
        <f t="shared" si="15"/>
        <v>-8.5106382978723416E-2</v>
      </c>
      <c r="O37" s="275">
        <f t="shared" si="15"/>
        <v>7.9069767441860339E-2</v>
      </c>
      <c r="P37" s="275">
        <f t="shared" si="15"/>
        <v>5.6034482758620774E-2</v>
      </c>
      <c r="Q37" s="277">
        <f>Q36/P36-1</f>
        <v>0</v>
      </c>
      <c r="R37" s="54"/>
      <c r="S37" s="54"/>
    </row>
    <row r="38" spans="1:19">
      <c r="A38" s="151" t="s">
        <v>14</v>
      </c>
      <c r="B38" s="141">
        <v>6.7</v>
      </c>
      <c r="C38" s="141">
        <v>6.7</v>
      </c>
      <c r="D38" s="142">
        <v>6.8</v>
      </c>
      <c r="E38" s="141">
        <v>7</v>
      </c>
      <c r="F38" s="143">
        <v>6.8</v>
      </c>
      <c r="G38" s="141">
        <v>6.4</v>
      </c>
      <c r="H38" s="141">
        <v>5.9</v>
      </c>
      <c r="I38" s="141">
        <v>6</v>
      </c>
      <c r="J38" s="141">
        <v>6.3599999999999994</v>
      </c>
      <c r="K38" s="141">
        <v>6.6</v>
      </c>
      <c r="L38" s="141">
        <v>6.9</v>
      </c>
      <c r="M38" s="141">
        <v>7.3</v>
      </c>
      <c r="N38" s="141">
        <v>6.8</v>
      </c>
      <c r="O38" s="141">
        <v>8.1</v>
      </c>
      <c r="P38" s="141">
        <v>9.1</v>
      </c>
      <c r="Q38" s="143">
        <v>9.1999999999999993</v>
      </c>
      <c r="R38" s="54"/>
      <c r="S38" s="54"/>
    </row>
    <row r="39" spans="1:19">
      <c r="A39" s="274" t="s">
        <v>141</v>
      </c>
      <c r="B39" s="275">
        <v>0.15517241379310343</v>
      </c>
      <c r="C39" s="275">
        <f t="shared" ref="C39:H39" si="21">C38/B38-1</f>
        <v>0</v>
      </c>
      <c r="D39" s="276">
        <f t="shared" si="21"/>
        <v>1.4925373134328401E-2</v>
      </c>
      <c r="E39" s="275">
        <f t="shared" si="21"/>
        <v>2.941176470588247E-2</v>
      </c>
      <c r="F39" s="277">
        <f t="shared" si="21"/>
        <v>-2.8571428571428581E-2</v>
      </c>
      <c r="G39" s="275">
        <f t="shared" si="21"/>
        <v>-5.8823529411764608E-2</v>
      </c>
      <c r="H39" s="275">
        <f t="shared" si="21"/>
        <v>-7.8125E-2</v>
      </c>
      <c r="I39" s="275">
        <f>I38/H38-1</f>
        <v>1.6949152542372836E-2</v>
      </c>
      <c r="J39" s="275">
        <f>J38/I38-1</f>
        <v>5.9999999999999831E-2</v>
      </c>
      <c r="K39" s="275">
        <f>(ROUND(K38,1)/ROUND(J38,1)-1)</f>
        <v>3.1249999999999778E-2</v>
      </c>
      <c r="L39" s="275">
        <f t="shared" si="15"/>
        <v>4.5454545454545636E-2</v>
      </c>
      <c r="M39" s="275">
        <f t="shared" si="15"/>
        <v>5.7971014492753437E-2</v>
      </c>
      <c r="N39" s="275">
        <f t="shared" si="15"/>
        <v>-6.8493150684931559E-2</v>
      </c>
      <c r="O39" s="275">
        <f t="shared" si="15"/>
        <v>0.19117647058823528</v>
      </c>
      <c r="P39" s="275">
        <f t="shared" si="15"/>
        <v>0.12345679012345689</v>
      </c>
      <c r="Q39" s="277">
        <f>Q38/P38-1</f>
        <v>1.098901098901095E-2</v>
      </c>
      <c r="R39" s="54"/>
      <c r="S39" s="54"/>
    </row>
    <row r="40" spans="1:19">
      <c r="A40" s="162" t="s">
        <v>118</v>
      </c>
      <c r="B40" s="144">
        <v>406.6</v>
      </c>
      <c r="C40" s="144">
        <v>388.3</v>
      </c>
      <c r="D40" s="145">
        <f t="shared" ref="D40:I40" si="22">+D38+D36+D34+D32+D30+D28+D26</f>
        <v>391.7</v>
      </c>
      <c r="E40" s="144">
        <f t="shared" si="22"/>
        <v>399.7</v>
      </c>
      <c r="F40" s="146">
        <f t="shared" si="22"/>
        <v>393.5</v>
      </c>
      <c r="G40" s="144">
        <f t="shared" si="22"/>
        <v>381.00000000000006</v>
      </c>
      <c r="H40" s="144">
        <f t="shared" si="22"/>
        <v>358.29999999999995</v>
      </c>
      <c r="I40" s="144">
        <f t="shared" si="22"/>
        <v>378.7000000000001</v>
      </c>
      <c r="J40" s="144">
        <f t="shared" ref="J40:O40" si="23">+J38+J36+J34+J32+J30+J28+J26</f>
        <v>383.49000000000007</v>
      </c>
      <c r="K40" s="144">
        <f t="shared" si="23"/>
        <v>394.2</v>
      </c>
      <c r="L40" s="144">
        <f t="shared" si="23"/>
        <v>428.99999999999994</v>
      </c>
      <c r="M40" s="144">
        <f t="shared" si="23"/>
        <v>431.1</v>
      </c>
      <c r="N40" s="144">
        <f t="shared" si="23"/>
        <v>412.1</v>
      </c>
      <c r="O40" s="144">
        <f t="shared" si="23"/>
        <v>415.50000000000011</v>
      </c>
      <c r="P40" s="144">
        <f t="shared" ref="P40" si="24">+P38+P36+P34+P32+P30+P28+P26</f>
        <v>478.79999999999995</v>
      </c>
      <c r="Q40" s="146">
        <v>471</v>
      </c>
      <c r="R40" s="54"/>
      <c r="S40" s="54"/>
    </row>
    <row r="41" spans="1:19" ht="14.5" thickBot="1">
      <c r="A41" s="153" t="s">
        <v>141</v>
      </c>
      <c r="B41" s="154">
        <v>6.4676616915422924E-2</v>
      </c>
      <c r="C41" s="154">
        <f t="shared" ref="C41:K41" si="25">C40/B40-1</f>
        <v>-4.5007378258730912E-2</v>
      </c>
      <c r="D41" s="155">
        <f t="shared" si="25"/>
        <v>8.7561164048415296E-3</v>
      </c>
      <c r="E41" s="154">
        <f t="shared" si="25"/>
        <v>2.0423793719683392E-2</v>
      </c>
      <c r="F41" s="156">
        <f t="shared" si="25"/>
        <v>-1.5511633725293961E-2</v>
      </c>
      <c r="G41" s="154">
        <f t="shared" si="25"/>
        <v>-3.1766200762388674E-2</v>
      </c>
      <c r="H41" s="154">
        <f t="shared" si="25"/>
        <v>-5.9580052493438562E-2</v>
      </c>
      <c r="I41" s="154">
        <f t="shared" si="25"/>
        <v>5.6935528886408404E-2</v>
      </c>
      <c r="J41" s="154">
        <f t="shared" si="25"/>
        <v>1.2648534459994698E-2</v>
      </c>
      <c r="K41" s="154">
        <f t="shared" si="25"/>
        <v>2.7927716498474364E-2</v>
      </c>
      <c r="L41" s="154">
        <f t="shared" si="15"/>
        <v>8.8280060882800493E-2</v>
      </c>
      <c r="M41" s="154">
        <f t="shared" si="15"/>
        <v>4.8951048951051401E-3</v>
      </c>
      <c r="N41" s="154">
        <f t="shared" si="15"/>
        <v>-4.4073300858269548E-2</v>
      </c>
      <c r="O41" s="154">
        <f t="shared" si="15"/>
        <v>8.250424654210331E-3</v>
      </c>
      <c r="P41" s="154">
        <f t="shared" si="15"/>
        <v>0.15234657039711141</v>
      </c>
      <c r="Q41" s="156">
        <f>Q40/P40-1</f>
        <v>-1.6290726817042467E-2</v>
      </c>
      <c r="R41" s="54"/>
      <c r="S41" s="54"/>
    </row>
    <row r="42" spans="1:19" ht="4.5" customHeight="1" thickBot="1">
      <c r="A42" s="132"/>
      <c r="B42" s="132"/>
      <c r="C42" s="132"/>
      <c r="D42" s="133"/>
      <c r="E42" s="133"/>
      <c r="F42" s="133"/>
      <c r="G42" s="133"/>
      <c r="H42" s="133"/>
      <c r="I42" s="133"/>
      <c r="J42" s="133"/>
      <c r="K42" s="133"/>
      <c r="L42" s="133"/>
      <c r="M42" s="133"/>
      <c r="N42" s="133"/>
      <c r="O42" s="133"/>
      <c r="P42" s="133"/>
      <c r="Q42" s="133"/>
      <c r="R42" s="54"/>
      <c r="S42" s="54"/>
    </row>
    <row r="43" spans="1:19">
      <c r="A43" s="147" t="s">
        <v>15</v>
      </c>
      <c r="B43" s="148"/>
      <c r="C43" s="148"/>
      <c r="D43" s="149"/>
      <c r="E43" s="148"/>
      <c r="F43" s="150"/>
      <c r="G43" s="148"/>
      <c r="H43" s="148"/>
      <c r="I43" s="148"/>
      <c r="J43" s="148"/>
      <c r="K43" s="148"/>
      <c r="L43" s="148"/>
      <c r="M43" s="148"/>
      <c r="N43" s="148"/>
      <c r="O43" s="148"/>
      <c r="P43" s="148"/>
      <c r="Q43" s="150"/>
      <c r="R43" s="54"/>
      <c r="S43" s="54"/>
    </row>
    <row r="44" spans="1:19">
      <c r="A44" s="151" t="s">
        <v>16</v>
      </c>
      <c r="B44" s="141">
        <v>6.5</v>
      </c>
      <c r="C44" s="141">
        <v>5.8</v>
      </c>
      <c r="D44" s="142">
        <v>6.4</v>
      </c>
      <c r="E44" s="141">
        <v>6.6</v>
      </c>
      <c r="F44" s="143">
        <v>7.1</v>
      </c>
      <c r="G44" s="141">
        <v>7.8</v>
      </c>
      <c r="H44" s="141">
        <v>8.8000000000000007</v>
      </c>
      <c r="I44" s="141">
        <v>8.6</v>
      </c>
      <c r="J44" s="141">
        <v>8.39</v>
      </c>
      <c r="K44" s="141">
        <v>10.1</v>
      </c>
      <c r="L44" s="141">
        <v>11.3</v>
      </c>
      <c r="M44" s="141">
        <v>11.6</v>
      </c>
      <c r="N44" s="141">
        <v>10.8</v>
      </c>
      <c r="O44" s="141">
        <v>14</v>
      </c>
      <c r="P44" s="141">
        <v>15.5</v>
      </c>
      <c r="Q44" s="143">
        <v>15.5</v>
      </c>
      <c r="R44" s="54"/>
      <c r="S44" s="54"/>
    </row>
    <row r="45" spans="1:19">
      <c r="A45" s="274" t="s">
        <v>141</v>
      </c>
      <c r="B45" s="275">
        <v>0.25</v>
      </c>
      <c r="C45" s="275">
        <f t="shared" ref="C45:P45" si="26">C44/B44-1</f>
        <v>-0.10769230769230775</v>
      </c>
      <c r="D45" s="276">
        <f t="shared" si="26"/>
        <v>0.10344827586206895</v>
      </c>
      <c r="E45" s="275">
        <f t="shared" si="26"/>
        <v>3.1249999999999778E-2</v>
      </c>
      <c r="F45" s="277">
        <f t="shared" si="26"/>
        <v>7.575757575757569E-2</v>
      </c>
      <c r="G45" s="275">
        <f t="shared" si="26"/>
        <v>9.8591549295774739E-2</v>
      </c>
      <c r="H45" s="275">
        <f t="shared" si="26"/>
        <v>0.12820512820512842</v>
      </c>
      <c r="I45" s="275">
        <f t="shared" si="26"/>
        <v>-2.2727272727272818E-2</v>
      </c>
      <c r="J45" s="275">
        <f t="shared" si="26"/>
        <v>-2.4418604651162634E-2</v>
      </c>
      <c r="K45" s="275">
        <f t="shared" si="26"/>
        <v>0.20381406436233607</v>
      </c>
      <c r="L45" s="275">
        <f t="shared" si="26"/>
        <v>0.11881188118811892</v>
      </c>
      <c r="M45" s="275">
        <f t="shared" si="26"/>
        <v>2.6548672566371501E-2</v>
      </c>
      <c r="N45" s="275">
        <f t="shared" si="26"/>
        <v>-6.8965517241379226E-2</v>
      </c>
      <c r="O45" s="275">
        <f t="shared" si="26"/>
        <v>0.29629629629629628</v>
      </c>
      <c r="P45" s="275">
        <f t="shared" si="26"/>
        <v>0.10714285714285721</v>
      </c>
      <c r="Q45" s="277">
        <f>Q44/P44-1</f>
        <v>0</v>
      </c>
      <c r="R45" s="54"/>
      <c r="S45" s="54"/>
    </row>
    <row r="46" spans="1:19">
      <c r="A46" s="151" t="s">
        <v>17</v>
      </c>
      <c r="B46" s="141">
        <v>20.7</v>
      </c>
      <c r="C46" s="141">
        <v>19.600000000000001</v>
      </c>
      <c r="D46" s="142">
        <v>24.4</v>
      </c>
      <c r="E46" s="141">
        <v>29.5</v>
      </c>
      <c r="F46" s="143">
        <v>32.799999999999997</v>
      </c>
      <c r="G46" s="141">
        <v>42.7</v>
      </c>
      <c r="H46" s="141">
        <v>43.9</v>
      </c>
      <c r="I46" s="141">
        <v>38.4</v>
      </c>
      <c r="J46" s="141">
        <v>34.67</v>
      </c>
      <c r="K46" s="141">
        <v>34.799999999999997</v>
      </c>
      <c r="L46" s="141">
        <v>37.700000000000003</v>
      </c>
      <c r="M46" s="141">
        <v>39.299999999999997</v>
      </c>
      <c r="N46" s="141">
        <v>37.4</v>
      </c>
      <c r="O46" s="141">
        <v>41.1</v>
      </c>
      <c r="P46" s="141">
        <v>43.7</v>
      </c>
      <c r="Q46" s="143">
        <v>50.7</v>
      </c>
      <c r="R46" s="54"/>
      <c r="S46" s="54"/>
    </row>
    <row r="47" spans="1:19">
      <c r="A47" s="274" t="s">
        <v>141</v>
      </c>
      <c r="B47" s="275">
        <v>0.13114754098360648</v>
      </c>
      <c r="C47" s="275">
        <f t="shared" ref="C47:H47" si="27">C46/B46-1</f>
        <v>-5.3140096618357391E-2</v>
      </c>
      <c r="D47" s="276">
        <f t="shared" si="27"/>
        <v>0.2448979591836733</v>
      </c>
      <c r="E47" s="275">
        <f t="shared" si="27"/>
        <v>0.20901639344262302</v>
      </c>
      <c r="F47" s="277">
        <f t="shared" si="27"/>
        <v>0.11186440677966103</v>
      </c>
      <c r="G47" s="275">
        <f t="shared" si="27"/>
        <v>0.30182926829268308</v>
      </c>
      <c r="H47" s="275">
        <f t="shared" si="27"/>
        <v>2.8103044496486929E-2</v>
      </c>
      <c r="I47" s="275">
        <f t="shared" ref="I47:P47" si="28">I46/H46-1</f>
        <v>-0.12528473804100226</v>
      </c>
      <c r="J47" s="275">
        <f t="shared" si="28"/>
        <v>-9.7135416666666585E-2</v>
      </c>
      <c r="K47" s="275">
        <f t="shared" si="28"/>
        <v>3.7496394577443137E-3</v>
      </c>
      <c r="L47" s="275">
        <f t="shared" si="28"/>
        <v>8.3333333333333481E-2</v>
      </c>
      <c r="M47" s="275">
        <f t="shared" si="28"/>
        <v>4.2440318302387148E-2</v>
      </c>
      <c r="N47" s="275">
        <f t="shared" si="28"/>
        <v>-4.8346055979643698E-2</v>
      </c>
      <c r="O47" s="275">
        <f t="shared" si="28"/>
        <v>9.8930481283422633E-2</v>
      </c>
      <c r="P47" s="275">
        <f t="shared" si="28"/>
        <v>6.3260340632603329E-2</v>
      </c>
      <c r="Q47" s="277">
        <f>Q46/P46-1</f>
        <v>0.16018306636155599</v>
      </c>
      <c r="R47" s="54"/>
      <c r="S47" s="54"/>
    </row>
    <row r="48" spans="1:19">
      <c r="A48" s="151" t="s">
        <v>18</v>
      </c>
      <c r="B48" s="141">
        <v>16.600000000000001</v>
      </c>
      <c r="C48" s="141">
        <v>17.100000000000001</v>
      </c>
      <c r="D48" s="142">
        <v>16.600000000000001</v>
      </c>
      <c r="E48" s="141">
        <v>17.899999999999999</v>
      </c>
      <c r="F48" s="143">
        <v>18.5</v>
      </c>
      <c r="G48" s="141">
        <v>16.599999999999998</v>
      </c>
      <c r="H48" s="141">
        <v>15.6</v>
      </c>
      <c r="I48" s="141">
        <v>16.100000000000001</v>
      </c>
      <c r="J48" s="141">
        <v>16.71</v>
      </c>
      <c r="K48" s="141">
        <v>18.3</v>
      </c>
      <c r="L48" s="141">
        <v>19.899999999999999</v>
      </c>
      <c r="M48" s="141">
        <v>21.4</v>
      </c>
      <c r="N48" s="141">
        <v>18.600000000000001</v>
      </c>
      <c r="O48" s="141">
        <v>21.3</v>
      </c>
      <c r="P48" s="141">
        <v>23.6</v>
      </c>
      <c r="Q48" s="143">
        <v>24.5</v>
      </c>
      <c r="R48" s="54"/>
      <c r="S48" s="54"/>
    </row>
    <row r="49" spans="1:19">
      <c r="A49" s="274" t="s">
        <v>141</v>
      </c>
      <c r="B49" s="275">
        <v>0.10666666666666669</v>
      </c>
      <c r="C49" s="275">
        <f t="shared" ref="C49:H49" si="29">C48/B48-1</f>
        <v>3.0120481927710774E-2</v>
      </c>
      <c r="D49" s="276">
        <f t="shared" si="29"/>
        <v>-2.9239766081871288E-2</v>
      </c>
      <c r="E49" s="275">
        <f t="shared" si="29"/>
        <v>7.8313253012048056E-2</v>
      </c>
      <c r="F49" s="277">
        <f t="shared" si="29"/>
        <v>3.3519553072625774E-2</v>
      </c>
      <c r="G49" s="275">
        <f t="shared" si="29"/>
        <v>-0.10270270270270276</v>
      </c>
      <c r="H49" s="275">
        <f t="shared" si="29"/>
        <v>-6.0240963855421548E-2</v>
      </c>
      <c r="I49" s="275">
        <f t="shared" ref="I49:P49" si="30">I48/H48-1</f>
        <v>3.2051282051282159E-2</v>
      </c>
      <c r="J49" s="275">
        <f t="shared" si="30"/>
        <v>3.7888198757763947E-2</v>
      </c>
      <c r="K49" s="275">
        <f t="shared" si="30"/>
        <v>9.515260323159791E-2</v>
      </c>
      <c r="L49" s="275">
        <f t="shared" si="30"/>
        <v>8.7431693989070913E-2</v>
      </c>
      <c r="M49" s="275">
        <f t="shared" si="30"/>
        <v>7.5376884422110546E-2</v>
      </c>
      <c r="N49" s="275">
        <f t="shared" si="30"/>
        <v>-0.13084112149532701</v>
      </c>
      <c r="O49" s="275">
        <f t="shared" si="30"/>
        <v>0.14516129032258052</v>
      </c>
      <c r="P49" s="275">
        <f t="shared" si="30"/>
        <v>0.107981220657277</v>
      </c>
      <c r="Q49" s="277">
        <f>Q48/P48-1</f>
        <v>3.8135593220338881E-2</v>
      </c>
      <c r="R49" s="54"/>
      <c r="S49" s="54"/>
    </row>
    <row r="50" spans="1:19">
      <c r="A50" s="151" t="s">
        <v>19</v>
      </c>
      <c r="B50" s="141">
        <v>71.400000000000006</v>
      </c>
      <c r="C50" s="141">
        <v>64.2</v>
      </c>
      <c r="D50" s="142">
        <v>58.4</v>
      </c>
      <c r="E50" s="141">
        <v>56.3</v>
      </c>
      <c r="F50" s="143">
        <v>56.6</v>
      </c>
      <c r="G50" s="141">
        <v>55.7</v>
      </c>
      <c r="H50" s="141">
        <v>54.7</v>
      </c>
      <c r="I50" s="141">
        <v>57.6</v>
      </c>
      <c r="J50" s="141">
        <v>58.43</v>
      </c>
      <c r="K50" s="141">
        <v>62</v>
      </c>
      <c r="L50" s="141">
        <v>65.8</v>
      </c>
      <c r="M50" s="141">
        <v>64.099999999999994</v>
      </c>
      <c r="N50" s="141">
        <v>54.9</v>
      </c>
      <c r="O50" s="141">
        <v>62.6</v>
      </c>
      <c r="P50" s="141">
        <v>68.5</v>
      </c>
      <c r="Q50" s="143">
        <v>72.5</v>
      </c>
      <c r="R50" s="54"/>
      <c r="S50" s="54"/>
    </row>
    <row r="51" spans="1:19">
      <c r="A51" s="274" t="s">
        <v>141</v>
      </c>
      <c r="B51" s="275">
        <v>0.14057507987220452</v>
      </c>
      <c r="C51" s="275">
        <f t="shared" ref="C51:H51" si="31">C50/B50-1</f>
        <v>-0.10084033613445387</v>
      </c>
      <c r="D51" s="276">
        <f t="shared" si="31"/>
        <v>-9.0342679127725867E-2</v>
      </c>
      <c r="E51" s="275">
        <f t="shared" si="31"/>
        <v>-3.5958904109589018E-2</v>
      </c>
      <c r="F51" s="277">
        <f t="shared" si="31"/>
        <v>5.3285968028420339E-3</v>
      </c>
      <c r="G51" s="275">
        <f t="shared" si="31"/>
        <v>-1.590106007067138E-2</v>
      </c>
      <c r="H51" s="275">
        <f t="shared" si="31"/>
        <v>-1.7953321364452379E-2</v>
      </c>
      <c r="I51" s="275">
        <f t="shared" ref="I51:P51" si="32">I50/H50-1</f>
        <v>5.301645338208405E-2</v>
      </c>
      <c r="J51" s="275">
        <f t="shared" si="32"/>
        <v>1.4409722222222143E-2</v>
      </c>
      <c r="K51" s="275">
        <f t="shared" si="32"/>
        <v>6.1098750641793709E-2</v>
      </c>
      <c r="L51" s="275">
        <f t="shared" si="32"/>
        <v>6.1290322580645151E-2</v>
      </c>
      <c r="M51" s="275">
        <f t="shared" si="32"/>
        <v>-2.5835866261398222E-2</v>
      </c>
      <c r="N51" s="275">
        <f t="shared" si="32"/>
        <v>-0.14352574102964111</v>
      </c>
      <c r="O51" s="275">
        <f t="shared" si="32"/>
        <v>0.14025500910746813</v>
      </c>
      <c r="P51" s="275">
        <f t="shared" si="32"/>
        <v>9.4249201277955219E-2</v>
      </c>
      <c r="Q51" s="277">
        <f>Q50/P50-1</f>
        <v>5.8394160583941535E-2</v>
      </c>
      <c r="R51" s="54"/>
      <c r="S51" s="54"/>
    </row>
    <row r="52" spans="1:19">
      <c r="A52" s="151" t="s">
        <v>134</v>
      </c>
      <c r="B52" s="141">
        <v>9.3000000000000007</v>
      </c>
      <c r="C52" s="141">
        <v>8.8000000000000007</v>
      </c>
      <c r="D52" s="142" t="s">
        <v>102</v>
      </c>
      <c r="E52" s="141" t="s">
        <v>102</v>
      </c>
      <c r="F52" s="143" t="s">
        <v>102</v>
      </c>
      <c r="G52" s="141" t="s">
        <v>102</v>
      </c>
      <c r="H52" s="141" t="s">
        <v>102</v>
      </c>
      <c r="I52" s="141" t="s">
        <v>102</v>
      </c>
      <c r="J52" s="141" t="s">
        <v>102</v>
      </c>
      <c r="K52" s="141" t="s">
        <v>102</v>
      </c>
      <c r="L52" s="141" t="s">
        <v>102</v>
      </c>
      <c r="M52" s="141" t="s">
        <v>102</v>
      </c>
      <c r="N52" s="141" t="s">
        <v>102</v>
      </c>
      <c r="O52" s="141" t="s">
        <v>102</v>
      </c>
      <c r="P52" s="141" t="s">
        <v>102</v>
      </c>
      <c r="Q52" s="143" t="s">
        <v>102</v>
      </c>
      <c r="R52" s="54"/>
      <c r="S52" s="54"/>
    </row>
    <row r="53" spans="1:19">
      <c r="A53" s="274" t="s">
        <v>141</v>
      </c>
      <c r="B53" s="275">
        <v>-0.20512820512820507</v>
      </c>
      <c r="C53" s="275">
        <f>C52/B52-1</f>
        <v>-5.3763440860215006E-2</v>
      </c>
      <c r="D53" s="276" t="s">
        <v>102</v>
      </c>
      <c r="E53" s="275" t="s">
        <v>102</v>
      </c>
      <c r="F53" s="277" t="s">
        <v>102</v>
      </c>
      <c r="G53" s="275" t="s">
        <v>102</v>
      </c>
      <c r="H53" s="275" t="s">
        <v>102</v>
      </c>
      <c r="I53" s="275" t="s">
        <v>102</v>
      </c>
      <c r="J53" s="275" t="s">
        <v>102</v>
      </c>
      <c r="K53" s="275" t="s">
        <v>102</v>
      </c>
      <c r="L53" s="275" t="s">
        <v>102</v>
      </c>
      <c r="M53" s="275" t="s">
        <v>102</v>
      </c>
      <c r="N53" s="275" t="s">
        <v>102</v>
      </c>
      <c r="O53" s="275" t="s">
        <v>102</v>
      </c>
      <c r="P53" s="275" t="s">
        <v>102</v>
      </c>
      <c r="Q53" s="277" t="s">
        <v>102</v>
      </c>
      <c r="R53" s="54"/>
      <c r="S53" s="54"/>
    </row>
    <row r="54" spans="1:19">
      <c r="A54" s="151" t="s">
        <v>20</v>
      </c>
      <c r="B54" s="141">
        <v>5.9</v>
      </c>
      <c r="C54" s="141">
        <v>4.4000000000000004</v>
      </c>
      <c r="D54" s="142">
        <v>4.8</v>
      </c>
      <c r="E54" s="141">
        <v>5.5</v>
      </c>
      <c r="F54" s="143">
        <v>6.2</v>
      </c>
      <c r="G54" s="141">
        <v>5.9</v>
      </c>
      <c r="H54" s="141">
        <v>6.2</v>
      </c>
      <c r="I54" s="141">
        <v>6.65</v>
      </c>
      <c r="J54" s="141">
        <v>6.8</v>
      </c>
      <c r="K54" s="141">
        <v>7.1</v>
      </c>
      <c r="L54" s="141">
        <v>7.3</v>
      </c>
      <c r="M54" s="141">
        <v>8</v>
      </c>
      <c r="N54" s="141">
        <v>6.9</v>
      </c>
      <c r="O54" s="141">
        <v>8.4</v>
      </c>
      <c r="P54" s="141">
        <v>9</v>
      </c>
      <c r="Q54" s="143">
        <v>8.8000000000000007</v>
      </c>
      <c r="R54" s="54"/>
      <c r="S54" s="54"/>
    </row>
    <row r="55" spans="1:19">
      <c r="A55" s="274" t="s">
        <v>141</v>
      </c>
      <c r="B55" s="275">
        <v>-9.2307692307692202E-2</v>
      </c>
      <c r="C55" s="275">
        <f t="shared" ref="C55:I55" si="33">C54/B54-1</f>
        <v>-0.25423728813559321</v>
      </c>
      <c r="D55" s="276">
        <f t="shared" si="33"/>
        <v>9.0909090909090828E-2</v>
      </c>
      <c r="E55" s="275">
        <f t="shared" si="33"/>
        <v>0.14583333333333348</v>
      </c>
      <c r="F55" s="277">
        <f t="shared" si="33"/>
        <v>0.1272727272727272</v>
      </c>
      <c r="G55" s="275">
        <f t="shared" si="33"/>
        <v>-4.8387096774193505E-2</v>
      </c>
      <c r="H55" s="275">
        <f t="shared" si="33"/>
        <v>5.0847457627118509E-2</v>
      </c>
      <c r="I55" s="275">
        <f t="shared" si="33"/>
        <v>7.2580645161290258E-2</v>
      </c>
      <c r="J55" s="275">
        <f>J54/I54-1</f>
        <v>2.2556390977443552E-2</v>
      </c>
      <c r="K55" s="275">
        <f>(ROUND(K54,1)/ROUND(J54,1)-1)</f>
        <v>4.4117647058823595E-2</v>
      </c>
      <c r="L55" s="275">
        <f t="shared" ref="L55:Q55" si="34">L54/K54-1</f>
        <v>2.8169014084507005E-2</v>
      </c>
      <c r="M55" s="275">
        <f t="shared" si="34"/>
        <v>9.5890410958904049E-2</v>
      </c>
      <c r="N55" s="275">
        <f t="shared" si="34"/>
        <v>-0.13749999999999996</v>
      </c>
      <c r="O55" s="275">
        <f t="shared" si="34"/>
        <v>0.21739130434782616</v>
      </c>
      <c r="P55" s="275">
        <f t="shared" si="34"/>
        <v>7.1428571428571397E-2</v>
      </c>
      <c r="Q55" s="277">
        <f t="shared" si="34"/>
        <v>-2.2222222222222143E-2</v>
      </c>
      <c r="R55" s="54"/>
      <c r="S55" s="54"/>
    </row>
    <row r="56" spans="1:19">
      <c r="A56" s="151" t="s">
        <v>21</v>
      </c>
      <c r="B56" s="141">
        <v>165.9</v>
      </c>
      <c r="C56" s="141">
        <v>175.8</v>
      </c>
      <c r="D56" s="142">
        <v>183.9</v>
      </c>
      <c r="E56" s="141">
        <v>185.2</v>
      </c>
      <c r="F56" s="143">
        <v>181.9</v>
      </c>
      <c r="G56" s="141">
        <v>202.5</v>
      </c>
      <c r="H56" s="141">
        <v>210.6</v>
      </c>
      <c r="I56" s="141">
        <v>232</v>
      </c>
      <c r="J56" s="141">
        <v>257.94</v>
      </c>
      <c r="K56" s="141">
        <v>254.8</v>
      </c>
      <c r="L56" s="141">
        <v>249.9</v>
      </c>
      <c r="M56" s="141">
        <v>272.5</v>
      </c>
      <c r="N56" s="141">
        <v>309.2</v>
      </c>
      <c r="O56" s="141">
        <v>400.4</v>
      </c>
      <c r="P56" s="141">
        <v>408.3</v>
      </c>
      <c r="Q56" s="143">
        <v>415.5</v>
      </c>
      <c r="R56" s="54"/>
      <c r="S56" s="54"/>
    </row>
    <row r="57" spans="1:19">
      <c r="A57" s="274" t="s">
        <v>141</v>
      </c>
      <c r="B57" s="275">
        <v>0.10747663551401865</v>
      </c>
      <c r="C57" s="275">
        <f t="shared" ref="C57:P57" si="35">C56/B56-1</f>
        <v>5.9674502712477429E-2</v>
      </c>
      <c r="D57" s="276">
        <f t="shared" si="35"/>
        <v>4.607508532423199E-2</v>
      </c>
      <c r="E57" s="275">
        <f t="shared" si="35"/>
        <v>7.0690592713429368E-3</v>
      </c>
      <c r="F57" s="277">
        <f t="shared" si="35"/>
        <v>-1.7818574514038787E-2</v>
      </c>
      <c r="G57" s="275">
        <f t="shared" si="35"/>
        <v>0.11324903793293006</v>
      </c>
      <c r="H57" s="275">
        <f t="shared" si="35"/>
        <v>4.0000000000000036E-2</v>
      </c>
      <c r="I57" s="275">
        <f t="shared" si="35"/>
        <v>0.10161443494776834</v>
      </c>
      <c r="J57" s="275">
        <f t="shared" si="35"/>
        <v>0.11181034482758623</v>
      </c>
      <c r="K57" s="275">
        <f t="shared" si="35"/>
        <v>-1.2173373652787367E-2</v>
      </c>
      <c r="L57" s="275">
        <f t="shared" si="35"/>
        <v>-1.9230769230769273E-2</v>
      </c>
      <c r="M57" s="275">
        <f t="shared" si="35"/>
        <v>9.0436174469787911E-2</v>
      </c>
      <c r="N57" s="275">
        <f t="shared" si="35"/>
        <v>0.13467889908256869</v>
      </c>
      <c r="O57" s="275">
        <f t="shared" si="35"/>
        <v>0.29495472186287186</v>
      </c>
      <c r="P57" s="275">
        <f t="shared" si="35"/>
        <v>1.9730269730269923E-2</v>
      </c>
      <c r="Q57" s="277">
        <f>Q56/P56-1</f>
        <v>1.763409257898596E-2</v>
      </c>
      <c r="R57" s="54"/>
      <c r="S57" s="54"/>
    </row>
    <row r="58" spans="1:19">
      <c r="A58" s="151" t="s">
        <v>22</v>
      </c>
      <c r="B58" s="141">
        <v>198</v>
      </c>
      <c r="C58" s="141">
        <v>174.1</v>
      </c>
      <c r="D58" s="142">
        <v>167.8</v>
      </c>
      <c r="E58" s="141">
        <v>160.69999999999999</v>
      </c>
      <c r="F58" s="143">
        <v>162.69999999999999</v>
      </c>
      <c r="G58" s="141">
        <v>148.5</v>
      </c>
      <c r="H58" s="141">
        <v>139.19999999999999</v>
      </c>
      <c r="I58" s="141">
        <v>153.9</v>
      </c>
      <c r="J58" s="141">
        <v>167.41</v>
      </c>
      <c r="K58" s="141">
        <v>177</v>
      </c>
      <c r="L58" s="141">
        <v>192.7</v>
      </c>
      <c r="M58" s="141">
        <v>203.5</v>
      </c>
      <c r="N58" s="141">
        <v>185.5</v>
      </c>
      <c r="O58" s="141">
        <v>202.5</v>
      </c>
      <c r="P58" s="141">
        <v>203.7</v>
      </c>
      <c r="Q58" s="143">
        <v>186.8</v>
      </c>
      <c r="R58" s="54"/>
      <c r="S58" s="54"/>
    </row>
    <row r="59" spans="1:19">
      <c r="A59" s="274" t="s">
        <v>141</v>
      </c>
      <c r="B59" s="275">
        <v>0.10676355505869206</v>
      </c>
      <c r="C59" s="275">
        <f t="shared" ref="C59:P59" si="36">C58/B58-1</f>
        <v>-0.12070707070707076</v>
      </c>
      <c r="D59" s="276">
        <f t="shared" si="36"/>
        <v>-3.6186099942561611E-2</v>
      </c>
      <c r="E59" s="275">
        <f t="shared" si="36"/>
        <v>-4.2312276519666403E-2</v>
      </c>
      <c r="F59" s="277">
        <f t="shared" si="36"/>
        <v>1.2445550715619147E-2</v>
      </c>
      <c r="G59" s="275">
        <f t="shared" si="36"/>
        <v>-8.72771972956361E-2</v>
      </c>
      <c r="H59" s="275">
        <f t="shared" si="36"/>
        <v>-6.2626262626262696E-2</v>
      </c>
      <c r="I59" s="275">
        <f t="shared" si="36"/>
        <v>0.1056034482758621</v>
      </c>
      <c r="J59" s="275">
        <f t="shared" si="36"/>
        <v>8.7784275503573594E-2</v>
      </c>
      <c r="K59" s="275">
        <f t="shared" si="36"/>
        <v>5.7284511080580636E-2</v>
      </c>
      <c r="L59" s="275">
        <f t="shared" si="36"/>
        <v>8.8700564971751383E-2</v>
      </c>
      <c r="M59" s="275">
        <f t="shared" si="36"/>
        <v>5.6045666839647179E-2</v>
      </c>
      <c r="N59" s="275">
        <f t="shared" si="36"/>
        <v>-8.8452088452088407E-2</v>
      </c>
      <c r="O59" s="275">
        <f t="shared" si="36"/>
        <v>9.1644204851752065E-2</v>
      </c>
      <c r="P59" s="275">
        <f t="shared" si="36"/>
        <v>5.9259259259258901E-3</v>
      </c>
      <c r="Q59" s="277">
        <f>Q58/P58-1</f>
        <v>-8.2965144820814851E-2</v>
      </c>
      <c r="R59" s="54"/>
      <c r="S59" s="54"/>
    </row>
    <row r="60" spans="1:19">
      <c r="A60" s="151" t="s">
        <v>23</v>
      </c>
      <c r="B60" s="141">
        <v>346.2</v>
      </c>
      <c r="C60" s="141">
        <v>299.7</v>
      </c>
      <c r="D60" s="142">
        <v>341</v>
      </c>
      <c r="E60" s="141">
        <v>335.9</v>
      </c>
      <c r="F60" s="143">
        <v>371</v>
      </c>
      <c r="G60" s="141">
        <v>388</v>
      </c>
      <c r="H60" s="141">
        <v>390.2</v>
      </c>
      <c r="I60" s="141">
        <v>366</v>
      </c>
      <c r="J60" s="141">
        <v>338.11</v>
      </c>
      <c r="K60" s="141">
        <v>337.3</v>
      </c>
      <c r="L60" s="141">
        <v>352</v>
      </c>
      <c r="M60" s="141">
        <v>352.2</v>
      </c>
      <c r="N60" s="141">
        <v>315.60000000000002</v>
      </c>
      <c r="O60" s="141">
        <v>373.3</v>
      </c>
      <c r="P60" s="141">
        <v>266.10000000000002</v>
      </c>
      <c r="Q60" s="143">
        <v>368.7</v>
      </c>
      <c r="R60" s="54"/>
      <c r="S60" s="54"/>
    </row>
    <row r="61" spans="1:19">
      <c r="A61" s="274" t="s">
        <v>141</v>
      </c>
      <c r="B61" s="275">
        <v>-1.5638328120557321E-2</v>
      </c>
      <c r="C61" s="275">
        <f t="shared" ref="C61:P61" si="37">C60/B60-1</f>
        <v>-0.13431542461005197</v>
      </c>
      <c r="D61" s="276">
        <f t="shared" si="37"/>
        <v>0.13780447113780459</v>
      </c>
      <c r="E61" s="275">
        <f t="shared" si="37"/>
        <v>-1.4956011730205332E-2</v>
      </c>
      <c r="F61" s="277">
        <f t="shared" si="37"/>
        <v>0.10449538553140814</v>
      </c>
      <c r="G61" s="275">
        <f t="shared" si="37"/>
        <v>4.5822102425876032E-2</v>
      </c>
      <c r="H61" s="275">
        <f t="shared" si="37"/>
        <v>5.670103092783485E-3</v>
      </c>
      <c r="I61" s="275">
        <f t="shared" si="37"/>
        <v>-6.2019477191183947E-2</v>
      </c>
      <c r="J61" s="275">
        <f t="shared" si="37"/>
        <v>-7.6202185792349719E-2</v>
      </c>
      <c r="K61" s="275">
        <f t="shared" si="37"/>
        <v>-2.3956700482091753E-3</v>
      </c>
      <c r="L61" s="275">
        <f t="shared" si="37"/>
        <v>4.3581381559442578E-2</v>
      </c>
      <c r="M61" s="275">
        <f t="shared" si="37"/>
        <v>5.6818181818174551E-4</v>
      </c>
      <c r="N61" s="275">
        <f t="shared" si="37"/>
        <v>-0.10391822827938657</v>
      </c>
      <c r="O61" s="275">
        <f t="shared" si="37"/>
        <v>0.18282636248415707</v>
      </c>
      <c r="P61" s="275">
        <f t="shared" si="37"/>
        <v>-0.28716849718724879</v>
      </c>
      <c r="Q61" s="277">
        <f>Q60/P60-1</f>
        <v>0.38556933483652744</v>
      </c>
      <c r="R61" s="54"/>
      <c r="S61" s="54"/>
    </row>
    <row r="62" spans="1:19">
      <c r="A62" s="151" t="s">
        <v>24</v>
      </c>
      <c r="B62" s="141">
        <v>100.8</v>
      </c>
      <c r="C62" s="141">
        <v>93.7</v>
      </c>
      <c r="D62" s="142">
        <v>101.9</v>
      </c>
      <c r="E62" s="141">
        <v>93.6</v>
      </c>
      <c r="F62" s="143">
        <v>87.7</v>
      </c>
      <c r="G62" s="141">
        <v>78.599999999999994</v>
      </c>
      <c r="H62" s="141">
        <v>75.5</v>
      </c>
      <c r="I62" s="141">
        <v>85.7</v>
      </c>
      <c r="J62" s="141">
        <v>86.87</v>
      </c>
      <c r="K62" s="141">
        <v>96.3</v>
      </c>
      <c r="L62" s="141">
        <v>102.9</v>
      </c>
      <c r="M62" s="141">
        <v>113.8</v>
      </c>
      <c r="N62" s="141">
        <v>117</v>
      </c>
      <c r="O62" s="141">
        <v>137.30000000000001</v>
      </c>
      <c r="P62" s="141">
        <v>101.2</v>
      </c>
      <c r="Q62" s="143">
        <v>119.3</v>
      </c>
      <c r="R62" s="54"/>
      <c r="S62" s="54"/>
    </row>
    <row r="63" spans="1:19">
      <c r="A63" s="274" t="s">
        <v>141</v>
      </c>
      <c r="B63" s="275">
        <v>0.10043668122270755</v>
      </c>
      <c r="C63" s="275">
        <f t="shared" ref="C63:P63" si="38">C62/B62-1</f>
        <v>-7.0436507936507908E-2</v>
      </c>
      <c r="D63" s="276">
        <f t="shared" si="38"/>
        <v>8.7513340448239108E-2</v>
      </c>
      <c r="E63" s="275">
        <f t="shared" si="38"/>
        <v>-8.145240431795886E-2</v>
      </c>
      <c r="F63" s="277">
        <f t="shared" si="38"/>
        <v>-6.3034188034187921E-2</v>
      </c>
      <c r="G63" s="275">
        <f t="shared" si="38"/>
        <v>-0.10376282782212098</v>
      </c>
      <c r="H63" s="275">
        <f t="shared" si="38"/>
        <v>-3.9440203562340903E-2</v>
      </c>
      <c r="I63" s="275">
        <f t="shared" si="38"/>
        <v>0.13509933774834448</v>
      </c>
      <c r="J63" s="275">
        <f t="shared" si="38"/>
        <v>1.3652275379229861E-2</v>
      </c>
      <c r="K63" s="275">
        <f t="shared" si="38"/>
        <v>0.10855301024519393</v>
      </c>
      <c r="L63" s="275">
        <f t="shared" si="38"/>
        <v>6.8535825545171347E-2</v>
      </c>
      <c r="M63" s="275">
        <f t="shared" si="38"/>
        <v>0.10592808551992206</v>
      </c>
      <c r="N63" s="275">
        <f t="shared" si="38"/>
        <v>2.8119507908611618E-2</v>
      </c>
      <c r="O63" s="275">
        <f t="shared" si="38"/>
        <v>0.17350427350427355</v>
      </c>
      <c r="P63" s="275">
        <f t="shared" si="38"/>
        <v>-0.26292789512017489</v>
      </c>
      <c r="Q63" s="277">
        <f>Q62/P62-1</f>
        <v>0.17885375494071143</v>
      </c>
      <c r="R63" s="54"/>
      <c r="S63" s="54"/>
    </row>
    <row r="64" spans="1:19">
      <c r="A64" s="151" t="s">
        <v>25</v>
      </c>
      <c r="B64" s="141">
        <v>75.5</v>
      </c>
      <c r="C64" s="141">
        <v>74.599999999999994</v>
      </c>
      <c r="D64" s="142">
        <v>76.3</v>
      </c>
      <c r="E64" s="141">
        <v>83</v>
      </c>
      <c r="F64" s="143">
        <v>87.3</v>
      </c>
      <c r="G64" s="141">
        <v>82.6</v>
      </c>
      <c r="H64" s="141">
        <v>84.7</v>
      </c>
      <c r="I64" s="141">
        <v>90.2</v>
      </c>
      <c r="J64" s="141">
        <v>92.54</v>
      </c>
      <c r="K64" s="141">
        <v>98.9</v>
      </c>
      <c r="L64" s="141">
        <v>104.3</v>
      </c>
      <c r="M64" s="141">
        <v>122.5</v>
      </c>
      <c r="N64" s="141">
        <v>130.69999999999999</v>
      </c>
      <c r="O64" s="141">
        <v>146.4</v>
      </c>
      <c r="P64" s="141">
        <v>162.1</v>
      </c>
      <c r="Q64" s="143">
        <v>165.7</v>
      </c>
      <c r="R64" s="54"/>
      <c r="S64" s="54"/>
    </row>
    <row r="65" spans="1:24">
      <c r="A65" s="274" t="s">
        <v>141</v>
      </c>
      <c r="B65" s="275">
        <v>0.12686567164179108</v>
      </c>
      <c r="C65" s="275">
        <f t="shared" ref="C65:P65" si="39">C64/B64-1</f>
        <v>-1.1920529801324631E-2</v>
      </c>
      <c r="D65" s="276">
        <f t="shared" si="39"/>
        <v>2.2788203753351333E-2</v>
      </c>
      <c r="E65" s="275">
        <f t="shared" si="39"/>
        <v>8.7811271297509874E-2</v>
      </c>
      <c r="F65" s="277">
        <f t="shared" si="39"/>
        <v>5.1807228915662584E-2</v>
      </c>
      <c r="G65" s="275">
        <f t="shared" si="39"/>
        <v>-5.3837342497136342E-2</v>
      </c>
      <c r="H65" s="275">
        <f t="shared" si="39"/>
        <v>2.5423728813559476E-2</v>
      </c>
      <c r="I65" s="275">
        <f t="shared" si="39"/>
        <v>6.4935064935064846E-2</v>
      </c>
      <c r="J65" s="275">
        <f t="shared" si="39"/>
        <v>2.5942350332594177E-2</v>
      </c>
      <c r="K65" s="275">
        <f t="shared" si="39"/>
        <v>6.872703695699145E-2</v>
      </c>
      <c r="L65" s="275">
        <f t="shared" si="39"/>
        <v>5.4600606673407492E-2</v>
      </c>
      <c r="M65" s="275">
        <f t="shared" si="39"/>
        <v>0.17449664429530198</v>
      </c>
      <c r="N65" s="275">
        <f t="shared" si="39"/>
        <v>6.6938775510203996E-2</v>
      </c>
      <c r="O65" s="275">
        <f t="shared" si="39"/>
        <v>0.12012241775057397</v>
      </c>
      <c r="P65" s="275">
        <f t="shared" si="39"/>
        <v>0.10724043715846987</v>
      </c>
      <c r="Q65" s="277">
        <f>Q64/P64-1</f>
        <v>2.2208513263417551E-2</v>
      </c>
      <c r="R65" s="54"/>
      <c r="S65" s="54"/>
    </row>
    <row r="66" spans="1:24">
      <c r="A66" s="151" t="s">
        <v>199</v>
      </c>
      <c r="B66" s="141"/>
      <c r="C66" s="141"/>
      <c r="D66" s="142"/>
      <c r="E66" s="141"/>
      <c r="F66" s="143"/>
      <c r="G66" s="141"/>
      <c r="H66" s="141"/>
      <c r="I66" s="141"/>
      <c r="J66" s="141"/>
      <c r="K66" s="141"/>
      <c r="L66" s="141"/>
      <c r="M66" s="141"/>
      <c r="N66" s="141"/>
      <c r="O66" s="141"/>
      <c r="P66" s="141">
        <v>287.39999999999998</v>
      </c>
      <c r="Q66" s="143">
        <v>307.8</v>
      </c>
      <c r="R66" s="54"/>
      <c r="S66" s="54"/>
    </row>
    <row r="67" spans="1:24">
      <c r="A67" s="274" t="s">
        <v>141</v>
      </c>
      <c r="B67" s="275"/>
      <c r="C67" s="275"/>
      <c r="D67" s="276"/>
      <c r="E67" s="275"/>
      <c r="F67" s="277"/>
      <c r="G67" s="275"/>
      <c r="H67" s="275"/>
      <c r="I67" s="275"/>
      <c r="J67" s="275"/>
      <c r="K67" s="275"/>
      <c r="L67" s="275"/>
      <c r="M67" s="275"/>
      <c r="N67" s="275"/>
      <c r="O67" s="275"/>
      <c r="P67" s="275" t="s">
        <v>61</v>
      </c>
      <c r="Q67" s="277">
        <f>Q66/P66-1</f>
        <v>7.0981210855949994E-2</v>
      </c>
      <c r="R67" s="54"/>
      <c r="S67" s="54"/>
    </row>
    <row r="68" spans="1:24">
      <c r="A68" s="152" t="s">
        <v>118</v>
      </c>
      <c r="B68" s="144">
        <v>1016.8</v>
      </c>
      <c r="C68" s="144">
        <v>937.8</v>
      </c>
      <c r="D68" s="145">
        <f t="shared" ref="D68:I68" si="40">+D44+D46+D48+D50+D54+D56+D58+D60+D62+D64</f>
        <v>981.49999999999989</v>
      </c>
      <c r="E68" s="144">
        <f t="shared" si="40"/>
        <v>974.19999999999993</v>
      </c>
      <c r="F68" s="146">
        <f t="shared" si="40"/>
        <v>1011.8</v>
      </c>
      <c r="G68" s="144">
        <f t="shared" si="40"/>
        <v>1028.9000000000001</v>
      </c>
      <c r="H68" s="144">
        <f t="shared" si="40"/>
        <v>1029.3999999999999</v>
      </c>
      <c r="I68" s="144">
        <f t="shared" si="40"/>
        <v>1055.1500000000001</v>
      </c>
      <c r="J68" s="144">
        <v>1067.8</v>
      </c>
      <c r="K68" s="144">
        <f>+K44+K46+K48+K50+K54+K56+K58+K60+K62+K64</f>
        <v>1096.6000000000001</v>
      </c>
      <c r="L68" s="144">
        <f>+L44+L46+L48+L50+L54+L56+L58+L60+L62+L64</f>
        <v>1143.8</v>
      </c>
      <c r="M68" s="144">
        <f>+M44+M46+M48+M50+M54+M56+M58+M60+M62+M64</f>
        <v>1208.8999999999999</v>
      </c>
      <c r="N68" s="144">
        <f>+N44+N46+N48+N50+N54+N56+N58+N60+N62+N64</f>
        <v>1186.6000000000001</v>
      </c>
      <c r="O68" s="144">
        <f>+O44+O46+O48+O50+O54+O56+O58+O60+O62+O64</f>
        <v>1407.3</v>
      </c>
      <c r="P68" s="144">
        <f>+P44+P46+P48+P50+P54+P56+P58+P60+P62+P64+P66</f>
        <v>1589.1</v>
      </c>
      <c r="Q68" s="146">
        <v>1735.8</v>
      </c>
      <c r="R68" s="54"/>
      <c r="S68" s="54"/>
    </row>
    <row r="69" spans="1:24" ht="14.5" thickBot="1">
      <c r="A69" s="163" t="s">
        <v>141</v>
      </c>
      <c r="B69" s="154">
        <v>6.1045601586142029E-2</v>
      </c>
      <c r="C69" s="154">
        <f t="shared" ref="C69:P69" si="41">C68/B68-1</f>
        <v>-7.7694728560188886E-2</v>
      </c>
      <c r="D69" s="155">
        <f t="shared" si="41"/>
        <v>4.6598421838345061E-2</v>
      </c>
      <c r="E69" s="154">
        <f t="shared" si="41"/>
        <v>-7.4375955170656871E-3</v>
      </c>
      <c r="F69" s="156">
        <f t="shared" si="41"/>
        <v>3.8595770888934622E-2</v>
      </c>
      <c r="G69" s="154">
        <f t="shared" si="41"/>
        <v>1.6900573235817395E-2</v>
      </c>
      <c r="H69" s="154">
        <f t="shared" si="41"/>
        <v>4.8595587520638972E-4</v>
      </c>
      <c r="I69" s="154">
        <f t="shared" si="41"/>
        <v>2.5014571595104229E-2</v>
      </c>
      <c r="J69" s="154">
        <f t="shared" si="41"/>
        <v>1.1988816755911458E-2</v>
      </c>
      <c r="K69" s="154">
        <f t="shared" si="41"/>
        <v>2.697134294811776E-2</v>
      </c>
      <c r="L69" s="154">
        <f t="shared" si="41"/>
        <v>4.304213022068204E-2</v>
      </c>
      <c r="M69" s="154">
        <f t="shared" si="41"/>
        <v>5.6915544675642415E-2</v>
      </c>
      <c r="N69" s="154">
        <f t="shared" si="41"/>
        <v>-1.8446521631234836E-2</v>
      </c>
      <c r="O69" s="154">
        <f t="shared" si="41"/>
        <v>0.1859935951457945</v>
      </c>
      <c r="P69" s="154">
        <f t="shared" si="41"/>
        <v>0.12918354295459378</v>
      </c>
      <c r="Q69" s="156">
        <f>Q68/P68-1</f>
        <v>9.2316405512554267E-2</v>
      </c>
      <c r="R69" s="54"/>
      <c r="S69" s="54"/>
    </row>
    <row r="70" spans="1:24" ht="4.5" customHeight="1" thickBot="1">
      <c r="A70" s="132"/>
      <c r="B70" s="132"/>
      <c r="C70" s="132"/>
      <c r="D70" s="133"/>
      <c r="E70" s="133"/>
      <c r="F70" s="133"/>
      <c r="G70" s="133"/>
      <c r="H70" s="133"/>
      <c r="I70" s="133"/>
      <c r="J70" s="133"/>
      <c r="K70" s="133"/>
      <c r="L70" s="133"/>
      <c r="M70" s="133"/>
      <c r="N70" s="133"/>
      <c r="O70" s="133"/>
      <c r="P70" s="133"/>
      <c r="Q70" s="133"/>
      <c r="R70" s="54"/>
      <c r="S70" s="54"/>
    </row>
    <row r="71" spans="1:24">
      <c r="A71" s="278" t="s">
        <v>140</v>
      </c>
      <c r="B71" s="279">
        <v>2115.5</v>
      </c>
      <c r="C71" s="279">
        <v>2069.3000000000002</v>
      </c>
      <c r="D71" s="280">
        <f t="shared" ref="D71:J71" si="42">+D40+D22+D68</f>
        <v>2104.8999999999996</v>
      </c>
      <c r="E71" s="279">
        <f t="shared" si="42"/>
        <v>2087.4</v>
      </c>
      <c r="F71" s="281">
        <f t="shared" si="42"/>
        <v>2084.6999999999998</v>
      </c>
      <c r="G71" s="279">
        <f t="shared" si="42"/>
        <v>2060.5</v>
      </c>
      <c r="H71" s="279">
        <f t="shared" si="42"/>
        <v>2002.8999999999999</v>
      </c>
      <c r="I71" s="279">
        <f t="shared" si="42"/>
        <v>2054.9500000000003</v>
      </c>
      <c r="J71" s="279">
        <f t="shared" si="42"/>
        <v>2057.9</v>
      </c>
      <c r="K71" s="279">
        <f t="shared" ref="K71:L71" si="43">+K40+K22+K68</f>
        <v>2104.1000000000004</v>
      </c>
      <c r="L71" s="279">
        <f t="shared" si="43"/>
        <v>2192.3000000000002</v>
      </c>
      <c r="M71" s="279">
        <f t="shared" ref="M71:N71" si="44">+M40+M22+M68</f>
        <v>2264.5</v>
      </c>
      <c r="N71" s="279">
        <f t="shared" si="44"/>
        <v>2135.6000000000004</v>
      </c>
      <c r="O71" s="279">
        <f t="shared" ref="O71:P71" si="45">+O40+O22+O68</f>
        <v>2412.6999999999998</v>
      </c>
      <c r="P71" s="279">
        <f t="shared" si="45"/>
        <v>2711.7999999999997</v>
      </c>
      <c r="Q71" s="281">
        <f>2835.5</f>
        <v>2835.5</v>
      </c>
      <c r="R71" s="54"/>
      <c r="S71" s="54"/>
    </row>
    <row r="72" spans="1:24" ht="14.5" thickBot="1">
      <c r="A72" s="282" t="s">
        <v>141</v>
      </c>
      <c r="B72" s="283">
        <v>4.7899742421240177E-2</v>
      </c>
      <c r="C72" s="283">
        <f t="shared" ref="C72:P72" si="46">C71/B71-1</f>
        <v>-2.1838808792247644E-2</v>
      </c>
      <c r="D72" s="284">
        <f t="shared" si="46"/>
        <v>1.7203885371864569E-2</v>
      </c>
      <c r="E72" s="283">
        <f t="shared" si="46"/>
        <v>-8.3139341536412337E-3</v>
      </c>
      <c r="F72" s="285">
        <f t="shared" si="46"/>
        <v>-1.2934751365336616E-3</v>
      </c>
      <c r="G72" s="283">
        <f t="shared" si="46"/>
        <v>-1.1608384899505886E-2</v>
      </c>
      <c r="H72" s="283">
        <f t="shared" si="46"/>
        <v>-2.7954380004853285E-2</v>
      </c>
      <c r="I72" s="283">
        <f t="shared" si="46"/>
        <v>2.5987318388337011E-2</v>
      </c>
      <c r="J72" s="283">
        <f t="shared" si="46"/>
        <v>1.4355580427747316E-3</v>
      </c>
      <c r="K72" s="283">
        <f t="shared" si="46"/>
        <v>2.2450070460177995E-2</v>
      </c>
      <c r="L72" s="283">
        <f t="shared" si="46"/>
        <v>4.1918159783280062E-2</v>
      </c>
      <c r="M72" s="283">
        <f t="shared" si="46"/>
        <v>3.2933448889294281E-2</v>
      </c>
      <c r="N72" s="283">
        <f t="shared" si="46"/>
        <v>-5.6922057849414731E-2</v>
      </c>
      <c r="O72" s="283">
        <f t="shared" si="46"/>
        <v>0.12975276268964198</v>
      </c>
      <c r="P72" s="283">
        <f t="shared" si="46"/>
        <v>0.12396899738881739</v>
      </c>
      <c r="Q72" s="285">
        <f>Q71/P71-1</f>
        <v>4.561545836713643E-2</v>
      </c>
      <c r="R72" s="54"/>
      <c r="S72" s="54"/>
    </row>
    <row r="73" spans="1:24">
      <c r="A73" s="134"/>
      <c r="B73" s="134"/>
      <c r="C73" s="134"/>
      <c r="D73" s="134"/>
      <c r="E73" s="134"/>
      <c r="F73" s="135"/>
      <c r="G73" s="135"/>
      <c r="H73" s="135"/>
      <c r="I73" s="135"/>
      <c r="J73" s="135"/>
      <c r="K73" s="135"/>
      <c r="L73" s="135"/>
      <c r="M73" s="135"/>
      <c r="N73" s="135"/>
      <c r="O73" s="135"/>
      <c r="P73" s="135"/>
      <c r="R73" s="54"/>
      <c r="S73" s="54"/>
    </row>
    <row r="74" spans="1:24">
      <c r="A74" s="520"/>
      <c r="B74" s="520"/>
      <c r="C74" s="520"/>
      <c r="D74" s="520"/>
      <c r="E74" s="520"/>
      <c r="F74" s="521"/>
      <c r="G74" s="136"/>
      <c r="H74" s="136"/>
      <c r="I74" s="136"/>
      <c r="J74" s="136"/>
      <c r="K74" s="136"/>
      <c r="L74" s="136"/>
      <c r="M74" s="136"/>
      <c r="N74" s="136"/>
      <c r="O74" s="136"/>
      <c r="P74" s="136"/>
      <c r="R74" s="54"/>
      <c r="S74" s="54"/>
    </row>
    <row r="75" spans="1:24" s="86" customFormat="1">
      <c r="A75" s="522" t="s">
        <v>126</v>
      </c>
      <c r="B75" s="522"/>
      <c r="C75" s="522"/>
      <c r="D75" s="522"/>
      <c r="E75" s="522"/>
      <c r="F75" s="522"/>
      <c r="G75" s="522"/>
      <c r="H75" s="522"/>
      <c r="I75" s="522"/>
      <c r="J75" s="522"/>
      <c r="K75" s="522"/>
      <c r="L75" s="522"/>
      <c r="M75" s="522"/>
      <c r="N75" s="522"/>
      <c r="O75" s="522"/>
      <c r="P75" s="522"/>
      <c r="Q75" s="522"/>
      <c r="R75" s="54"/>
      <c r="S75" s="54"/>
      <c r="T75" s="54"/>
      <c r="U75" s="54"/>
      <c r="V75" s="54"/>
      <c r="W75" s="54"/>
      <c r="X75" s="54"/>
    </row>
    <row r="76" spans="1:24" s="86" customFormat="1">
      <c r="A76" s="137"/>
      <c r="B76" s="137"/>
      <c r="C76" s="137"/>
      <c r="D76" s="137"/>
      <c r="E76" s="137"/>
      <c r="F76" s="137"/>
      <c r="G76" s="137"/>
      <c r="H76" s="137"/>
      <c r="I76" s="137"/>
      <c r="J76" s="137"/>
      <c r="R76" s="54"/>
      <c r="S76" s="54"/>
      <c r="T76" s="54"/>
      <c r="U76" s="54"/>
      <c r="V76" s="54"/>
      <c r="W76" s="54"/>
      <c r="X76" s="54"/>
    </row>
    <row r="77" spans="1:24" s="86" customFormat="1">
      <c r="A77" s="137"/>
      <c r="B77" s="137"/>
      <c r="C77" s="137"/>
      <c r="D77" s="137"/>
      <c r="E77" s="137"/>
      <c r="F77" s="137"/>
      <c r="G77" s="137"/>
      <c r="H77" s="137"/>
      <c r="R77" s="54"/>
      <c r="S77" s="54"/>
      <c r="T77" s="54"/>
      <c r="U77" s="54"/>
      <c r="V77" s="54"/>
      <c r="W77" s="54"/>
      <c r="X77" s="54"/>
    </row>
    <row r="78" spans="1:24" s="86" customFormat="1">
      <c r="A78" s="137"/>
      <c r="B78" s="137"/>
      <c r="C78" s="137"/>
      <c r="D78" s="137"/>
      <c r="E78" s="137"/>
      <c r="F78" s="137"/>
      <c r="G78" s="137"/>
      <c r="H78" s="137"/>
      <c r="R78" s="54"/>
      <c r="S78" s="54"/>
      <c r="T78" s="54"/>
      <c r="U78" s="54"/>
      <c r="V78" s="54"/>
      <c r="W78" s="54"/>
      <c r="X78" s="54"/>
    </row>
    <row r="79" spans="1:24" s="86" customFormat="1">
      <c r="A79" s="137"/>
      <c r="B79" s="137"/>
      <c r="C79" s="137"/>
      <c r="D79" s="137"/>
      <c r="E79" s="137"/>
      <c r="F79" s="137"/>
      <c r="G79" s="137"/>
      <c r="H79" s="137"/>
      <c r="R79" s="54"/>
      <c r="S79" s="54"/>
      <c r="T79" s="54"/>
      <c r="U79" s="54"/>
      <c r="V79" s="54"/>
      <c r="W79" s="54"/>
      <c r="X79" s="54"/>
    </row>
    <row r="80" spans="1:24" s="86" customFormat="1">
      <c r="A80" s="137"/>
      <c r="B80" s="137"/>
      <c r="C80" s="137"/>
      <c r="D80" s="137"/>
      <c r="E80" s="137"/>
      <c r="F80" s="137"/>
      <c r="G80" s="137"/>
      <c r="H80" s="137"/>
      <c r="R80" s="54"/>
      <c r="S80" s="54"/>
      <c r="T80" s="54"/>
      <c r="U80" s="54"/>
      <c r="V80" s="54"/>
      <c r="W80" s="54"/>
      <c r="X80" s="54"/>
    </row>
    <row r="81" s="54" customFormat="1"/>
    <row r="82" s="54" customFormat="1"/>
  </sheetData>
  <mergeCells count="2">
    <mergeCell ref="A74:F74"/>
    <mergeCell ref="A75:Q75"/>
  </mergeCells>
  <pageMargins left="0.70866141732283472" right="0.70866141732283472" top="0.86614173228346458" bottom="0.35433070866141736" header="0.35433070866141736" footer="0.31496062992125984"/>
  <pageSetup paperSize="9" scale="66" orientation="portrait" r:id="rId1"/>
  <customProperties>
    <customPr name="EpmWorksheetKeyString_GUID" r:id="rId2"/>
  </customProperties>
  <ignoredErrors>
    <ignoredError sqref="K68:M68 K71:M71 L22:M22 D23:M24 D22:K22 L40:M40 D41:M42 D40:K40" formula="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2:CI91"/>
  <sheetViews>
    <sheetView showGridLines="0" topLeftCell="A3" zoomScale="55" zoomScaleNormal="55" workbookViewId="0">
      <pane xSplit="1" topLeftCell="B1" activePane="topRight" state="frozen"/>
      <selection pane="topRight" activeCell="CE18" sqref="CE18"/>
    </sheetView>
  </sheetViews>
  <sheetFormatPr defaultColWidth="9.453125" defaultRowHeight="14" outlineLevelCol="1"/>
  <cols>
    <col min="1" max="1" width="33.54296875" style="54" customWidth="1"/>
    <col min="2" max="2" width="13.453125" style="54" customWidth="1"/>
    <col min="3" max="6" width="10.453125" style="54" hidden="1" customWidth="1" outlineLevel="1"/>
    <col min="7" max="7" width="9.453125" style="54" hidden="1" customWidth="1" outlineLevel="1"/>
    <col min="8" max="11" width="10.453125" style="54" hidden="1" customWidth="1" outlineLevel="1"/>
    <col min="12" max="12" width="9.453125" style="54" hidden="1" customWidth="1" outlineLevel="1"/>
    <col min="13" max="13" width="8.54296875" style="54" hidden="1" customWidth="1" outlineLevel="1"/>
    <col min="14" max="19" width="10.453125" style="54" hidden="1" customWidth="1" outlineLevel="1"/>
    <col min="20" max="20" width="9.54296875" style="54" hidden="1" customWidth="1" outlineLevel="1"/>
    <col min="21" max="24" width="10.453125" style="54" hidden="1" customWidth="1" outlineLevel="1"/>
    <col min="25" max="26" width="9.54296875" style="54" hidden="1" customWidth="1" outlineLevel="1"/>
    <col min="27" max="30" width="10.453125" style="54" hidden="1" customWidth="1" outlineLevel="1"/>
    <col min="31" max="32" width="9.54296875" style="54" hidden="1" customWidth="1" outlineLevel="1"/>
    <col min="33" max="35" width="10.453125" style="54" hidden="1" customWidth="1" outlineLevel="1"/>
    <col min="36" max="36" width="9.54296875" style="54" hidden="1" customWidth="1" outlineLevel="1" collapsed="1"/>
    <col min="37" max="39" width="9.54296875" style="54" hidden="1" customWidth="1" outlineLevel="1"/>
    <col min="40" max="40" width="12.453125" style="70" hidden="1" customWidth="1" outlineLevel="1"/>
    <col min="41" max="41" width="10.453125" style="54" hidden="1" customWidth="1" outlineLevel="1"/>
    <col min="42" max="44" width="10.54296875" style="54" hidden="1" customWidth="1" outlineLevel="1"/>
    <col min="45" max="45" width="10.54296875" style="70" hidden="1" customWidth="1" outlineLevel="1"/>
    <col min="46" max="55" width="9.54296875" style="54" hidden="1" customWidth="1" outlineLevel="1"/>
    <col min="56" max="56" width="9.54296875" style="54" customWidth="1" collapsed="1"/>
    <col min="57" max="57" width="10.453125" style="54" bestFit="1" customWidth="1"/>
    <col min="58" max="59" width="9.54296875" style="54" customWidth="1"/>
    <col min="60" max="60" width="11" style="54" customWidth="1"/>
    <col min="61" max="62" width="9.54296875" style="54" customWidth="1"/>
    <col min="63" max="63" width="9.453125" style="54" customWidth="1"/>
    <col min="64" max="64" width="9.54296875" style="54" hidden="1" customWidth="1" outlineLevel="1"/>
    <col min="65" max="65" width="11" style="54" customWidth="1" collapsed="1"/>
    <col min="66" max="66" width="9.54296875" style="54" customWidth="1"/>
    <col min="67" max="67" width="10.453125" style="54" bestFit="1" customWidth="1"/>
    <col min="68" max="68" width="9.453125" style="54" customWidth="1"/>
    <col min="69" max="69" width="9.54296875" style="54" hidden="1" customWidth="1" outlineLevel="1"/>
    <col min="70" max="70" width="11" style="54" customWidth="1" collapsed="1"/>
    <col min="71" max="71" width="9.54296875" style="54" customWidth="1"/>
    <col min="72" max="72" width="10.54296875" style="54" customWidth="1"/>
    <col min="73" max="73" width="10.453125" style="54" customWidth="1"/>
    <col min="74" max="74" width="11" style="54" hidden="1" customWidth="1" outlineLevel="1"/>
    <col min="75" max="75" width="9.453125" style="54" customWidth="1" collapsed="1"/>
    <col min="76" max="76" width="10.453125" style="54" bestFit="1" customWidth="1"/>
    <col min="77" max="77" width="10" style="54" bestFit="1" customWidth="1"/>
    <col min="78" max="78" width="10.453125" style="54" bestFit="1" customWidth="1"/>
    <col min="79" max="79" width="10.453125" style="54" hidden="1" customWidth="1" outlineLevel="1"/>
    <col min="80" max="80" width="11" style="54" bestFit="1" customWidth="1" collapsed="1"/>
    <col min="81" max="81" width="10.453125" style="54" bestFit="1" customWidth="1"/>
    <col min="82" max="82" width="12" style="475" bestFit="1" customWidth="1"/>
    <col min="83" max="86" width="9.453125" style="54"/>
    <col min="87" max="87" width="10.6328125" style="54" bestFit="1" customWidth="1"/>
    <col min="88" max="16384" width="9.453125" style="54"/>
  </cols>
  <sheetData>
    <row r="2" spans="1:87" ht="19">
      <c r="A2" s="47" t="s">
        <v>145</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V2" s="69"/>
    </row>
    <row r="3" spans="1:87" ht="14.5" thickBot="1"/>
    <row r="4" spans="1:87" s="94" customFormat="1" ht="20">
      <c r="A4" s="527" t="s">
        <v>151</v>
      </c>
      <c r="B4" s="306">
        <v>2009</v>
      </c>
      <c r="C4" s="298">
        <v>2010</v>
      </c>
      <c r="D4" s="93"/>
      <c r="E4" s="93"/>
      <c r="F4" s="93"/>
      <c r="G4" s="299"/>
      <c r="H4" s="298">
        <v>2011</v>
      </c>
      <c r="I4" s="93"/>
      <c r="J4" s="93"/>
      <c r="K4" s="93"/>
      <c r="L4" s="93"/>
      <c r="M4" s="299"/>
      <c r="N4" s="298">
        <v>2012</v>
      </c>
      <c r="O4" s="93"/>
      <c r="P4" s="93"/>
      <c r="Q4" s="93"/>
      <c r="R4" s="299"/>
      <c r="S4" s="298" t="s">
        <v>67</v>
      </c>
      <c r="T4" s="93"/>
      <c r="U4" s="93"/>
      <c r="V4" s="93"/>
      <c r="W4" s="299"/>
      <c r="X4" s="312" t="s">
        <v>122</v>
      </c>
      <c r="Y4" s="93"/>
      <c r="Z4" s="93"/>
      <c r="AA4" s="93"/>
      <c r="AB4" s="93"/>
      <c r="AC4" s="299"/>
      <c r="AD4" s="312" t="s">
        <v>124</v>
      </c>
      <c r="AE4" s="93"/>
      <c r="AF4" s="93"/>
      <c r="AG4" s="93"/>
      <c r="AH4" s="93"/>
      <c r="AI4" s="299"/>
      <c r="AJ4" s="298">
        <v>2015</v>
      </c>
      <c r="AK4" s="93"/>
      <c r="AL4" s="93"/>
      <c r="AM4" s="93"/>
      <c r="AN4" s="299"/>
      <c r="AO4" s="298">
        <v>2016</v>
      </c>
      <c r="AP4" s="93"/>
      <c r="AQ4" s="93"/>
      <c r="AR4" s="93"/>
      <c r="AS4" s="299"/>
      <c r="AT4" s="298">
        <v>2017</v>
      </c>
      <c r="AU4" s="93"/>
      <c r="AV4" s="93"/>
      <c r="AW4" s="93"/>
      <c r="AX4" s="299"/>
      <c r="AY4" s="298">
        <v>2018</v>
      </c>
      <c r="AZ4" s="93"/>
      <c r="BA4" s="93"/>
      <c r="BB4" s="93"/>
      <c r="BC4" s="299"/>
      <c r="BD4" s="298">
        <v>2019</v>
      </c>
      <c r="BE4" s="93"/>
      <c r="BF4" s="93"/>
      <c r="BG4" s="93"/>
      <c r="BH4" s="299"/>
      <c r="BI4" s="298">
        <v>2020</v>
      </c>
      <c r="BJ4" s="93"/>
      <c r="BK4" s="93"/>
      <c r="BL4" s="93"/>
      <c r="BM4" s="299"/>
      <c r="BN4" s="298">
        <v>2021</v>
      </c>
      <c r="BO4" s="93"/>
      <c r="BP4" s="93"/>
      <c r="BQ4" s="93"/>
      <c r="BR4" s="299"/>
      <c r="BS4" s="298">
        <v>2022</v>
      </c>
      <c r="BT4" s="93"/>
      <c r="BU4" s="93"/>
      <c r="BV4" s="93"/>
      <c r="BW4" s="299"/>
      <c r="BX4" s="298">
        <v>2023</v>
      </c>
      <c r="BY4" s="93"/>
      <c r="BZ4" s="93"/>
      <c r="CA4" s="93"/>
      <c r="CB4" s="299"/>
      <c r="CC4" s="298">
        <v>2024</v>
      </c>
      <c r="CD4" s="93"/>
      <c r="CE4" s="93"/>
      <c r="CF4" s="93"/>
      <c r="CG4" s="299"/>
    </row>
    <row r="5" spans="1:87" s="95" customFormat="1" ht="20.9" customHeight="1">
      <c r="A5" s="528"/>
      <c r="B5" s="307" t="s">
        <v>120</v>
      </c>
      <c r="C5" s="300" t="s">
        <v>70</v>
      </c>
      <c r="D5" s="100" t="s">
        <v>71</v>
      </c>
      <c r="E5" s="100" t="s">
        <v>72</v>
      </c>
      <c r="F5" s="100" t="s">
        <v>73</v>
      </c>
      <c r="G5" s="102" t="s">
        <v>120</v>
      </c>
      <c r="H5" s="300" t="s">
        <v>70</v>
      </c>
      <c r="I5" s="100" t="s">
        <v>71</v>
      </c>
      <c r="J5" s="100" t="s">
        <v>72</v>
      </c>
      <c r="K5" s="100" t="s">
        <v>73</v>
      </c>
      <c r="L5" s="101" t="s">
        <v>120</v>
      </c>
      <c r="M5" s="304" t="s">
        <v>150</v>
      </c>
      <c r="N5" s="300" t="s">
        <v>70</v>
      </c>
      <c r="O5" s="100" t="s">
        <v>71</v>
      </c>
      <c r="P5" s="100" t="s">
        <v>72</v>
      </c>
      <c r="Q5" s="100" t="s">
        <v>73</v>
      </c>
      <c r="R5" s="102" t="s">
        <v>120</v>
      </c>
      <c r="S5" s="300" t="s">
        <v>79</v>
      </c>
      <c r="T5" s="100" t="s">
        <v>80</v>
      </c>
      <c r="U5" s="100" t="s">
        <v>81</v>
      </c>
      <c r="V5" s="100" t="s">
        <v>76</v>
      </c>
      <c r="W5" s="102" t="s">
        <v>150</v>
      </c>
      <c r="X5" s="300" t="s">
        <v>70</v>
      </c>
      <c r="Y5" s="100" t="s">
        <v>71</v>
      </c>
      <c r="Z5" s="100" t="s">
        <v>111</v>
      </c>
      <c r="AA5" s="100" t="s">
        <v>72</v>
      </c>
      <c r="AB5" s="100" t="s">
        <v>73</v>
      </c>
      <c r="AC5" s="313" t="s">
        <v>120</v>
      </c>
      <c r="AD5" s="300" t="s">
        <v>70</v>
      </c>
      <c r="AE5" s="100" t="s">
        <v>71</v>
      </c>
      <c r="AF5" s="100" t="s">
        <v>111</v>
      </c>
      <c r="AG5" s="100" t="s">
        <v>72</v>
      </c>
      <c r="AH5" s="100" t="s">
        <v>73</v>
      </c>
      <c r="AI5" s="313" t="s">
        <v>120</v>
      </c>
      <c r="AJ5" s="300" t="s">
        <v>70</v>
      </c>
      <c r="AK5" s="100" t="s">
        <v>111</v>
      </c>
      <c r="AL5" s="100" t="s">
        <v>72</v>
      </c>
      <c r="AM5" s="100" t="s">
        <v>73</v>
      </c>
      <c r="AN5" s="102" t="s">
        <v>120</v>
      </c>
      <c r="AO5" s="300" t="s">
        <v>70</v>
      </c>
      <c r="AP5" s="100" t="s">
        <v>111</v>
      </c>
      <c r="AQ5" s="100" t="s">
        <v>72</v>
      </c>
      <c r="AR5" s="100" t="s">
        <v>73</v>
      </c>
      <c r="AS5" s="102" t="s">
        <v>120</v>
      </c>
      <c r="AT5" s="300" t="s">
        <v>70</v>
      </c>
      <c r="AU5" s="100" t="s">
        <v>111</v>
      </c>
      <c r="AV5" s="100" t="s">
        <v>72</v>
      </c>
      <c r="AW5" s="100" t="s">
        <v>73</v>
      </c>
      <c r="AX5" s="102" t="s">
        <v>120</v>
      </c>
      <c r="AY5" s="300" t="s">
        <v>70</v>
      </c>
      <c r="AZ5" s="100" t="s">
        <v>111</v>
      </c>
      <c r="BA5" s="100" t="s">
        <v>72</v>
      </c>
      <c r="BB5" s="100" t="s">
        <v>73</v>
      </c>
      <c r="BC5" s="102" t="s">
        <v>120</v>
      </c>
      <c r="BD5" s="300" t="s">
        <v>70</v>
      </c>
      <c r="BE5" s="100" t="s">
        <v>111</v>
      </c>
      <c r="BF5" s="100" t="s">
        <v>72</v>
      </c>
      <c r="BG5" s="100" t="s">
        <v>73</v>
      </c>
      <c r="BH5" s="102" t="s">
        <v>120</v>
      </c>
      <c r="BI5" s="300" t="s">
        <v>70</v>
      </c>
      <c r="BJ5" s="100" t="s">
        <v>111</v>
      </c>
      <c r="BK5" s="100" t="s">
        <v>72</v>
      </c>
      <c r="BL5" s="100" t="s">
        <v>73</v>
      </c>
      <c r="BM5" s="102" t="s">
        <v>120</v>
      </c>
      <c r="BN5" s="300" t="s">
        <v>70</v>
      </c>
      <c r="BO5" s="100" t="s">
        <v>111</v>
      </c>
      <c r="BP5" s="100" t="s">
        <v>72</v>
      </c>
      <c r="BQ5" s="100" t="s">
        <v>73</v>
      </c>
      <c r="BR5" s="102" t="s">
        <v>120</v>
      </c>
      <c r="BS5" s="300" t="s">
        <v>70</v>
      </c>
      <c r="BT5" s="100" t="s">
        <v>111</v>
      </c>
      <c r="BU5" s="100" t="s">
        <v>72</v>
      </c>
      <c r="BV5" s="100" t="s">
        <v>73</v>
      </c>
      <c r="BW5" s="102" t="s">
        <v>120</v>
      </c>
      <c r="BX5" s="300" t="s">
        <v>70</v>
      </c>
      <c r="BY5" s="100" t="s">
        <v>111</v>
      </c>
      <c r="BZ5" s="100" t="s">
        <v>72</v>
      </c>
      <c r="CA5" s="100" t="s">
        <v>73</v>
      </c>
      <c r="CB5" s="102" t="s">
        <v>120</v>
      </c>
      <c r="CC5" s="300" t="s">
        <v>70</v>
      </c>
      <c r="CD5" s="100" t="s">
        <v>111</v>
      </c>
      <c r="CE5" s="100" t="s">
        <v>72</v>
      </c>
      <c r="CF5" s="100" t="s">
        <v>73</v>
      </c>
      <c r="CG5" s="102" t="s">
        <v>120</v>
      </c>
    </row>
    <row r="6" spans="1:87" s="90" customFormat="1">
      <c r="A6" s="294" t="s">
        <v>42</v>
      </c>
      <c r="B6" s="72">
        <f>'Annual Segmental Analysis'!C6</f>
        <v>743.2</v>
      </c>
      <c r="C6" s="214">
        <v>155.4</v>
      </c>
      <c r="D6" s="71">
        <v>197.3</v>
      </c>
      <c r="E6" s="71">
        <v>200.2</v>
      </c>
      <c r="F6" s="71">
        <v>165.3</v>
      </c>
      <c r="G6" s="301">
        <f>SUM(C6:F6)</f>
        <v>718.2</v>
      </c>
      <c r="H6" s="308">
        <v>153</v>
      </c>
      <c r="I6" s="72">
        <v>200.1</v>
      </c>
      <c r="J6" s="72">
        <v>195</v>
      </c>
      <c r="K6" s="72">
        <v>151.4</v>
      </c>
      <c r="L6" s="73">
        <f>SUM(H6:K6)</f>
        <v>699.5</v>
      </c>
      <c r="M6" s="309">
        <v>713.5</v>
      </c>
      <c r="N6" s="214">
        <v>150.19999999999999</v>
      </c>
      <c r="O6" s="71">
        <v>184.1</v>
      </c>
      <c r="P6" s="71">
        <v>188.2</v>
      </c>
      <c r="Q6" s="71">
        <f>R6-SUM(N6:P6)</f>
        <v>143.06500000000005</v>
      </c>
      <c r="R6" s="301">
        <v>665.56500000000005</v>
      </c>
      <c r="S6" s="214">
        <v>153.19999999999999</v>
      </c>
      <c r="T6" s="71">
        <v>188.2</v>
      </c>
      <c r="U6" s="71">
        <f>W6-T6-S6-V6</f>
        <v>192</v>
      </c>
      <c r="V6" s="71">
        <v>146</v>
      </c>
      <c r="W6" s="301">
        <v>679.4</v>
      </c>
      <c r="X6" s="308">
        <v>141.9</v>
      </c>
      <c r="Y6" s="72">
        <v>177.5</v>
      </c>
      <c r="Z6" s="72">
        <f>X6+Y6</f>
        <v>319.39999999999998</v>
      </c>
      <c r="AA6" s="72">
        <v>185</v>
      </c>
      <c r="AB6" s="72">
        <v>146.19999999999999</v>
      </c>
      <c r="AC6" s="301">
        <v>650.6</v>
      </c>
      <c r="AD6" s="308">
        <v>131.30000000000001</v>
      </c>
      <c r="AE6" s="72">
        <v>174.6</v>
      </c>
      <c r="AF6" s="72">
        <v>305.89999999999998</v>
      </c>
      <c r="AG6" s="72">
        <v>167.2</v>
      </c>
      <c r="AH6" s="72">
        <v>142.1</v>
      </c>
      <c r="AI6" s="301">
        <v>615.20000000000005</v>
      </c>
      <c r="AJ6" s="214">
        <v>135.69999999999999</v>
      </c>
      <c r="AK6" s="71">
        <v>305.3</v>
      </c>
      <c r="AL6" s="71">
        <v>179.6</v>
      </c>
      <c r="AM6" s="71">
        <v>136.19999999999999</v>
      </c>
      <c r="AN6" s="301">
        <v>621.10293639200006</v>
      </c>
      <c r="AO6" s="214">
        <v>132</v>
      </c>
      <c r="AP6" s="71">
        <v>296.89999999999998</v>
      </c>
      <c r="AQ6" s="71">
        <v>175.1</v>
      </c>
      <c r="AR6" s="71">
        <v>134.57499999999999</v>
      </c>
      <c r="AS6" s="301">
        <v>606.60702792500001</v>
      </c>
      <c r="AT6" s="214">
        <v>129.1</v>
      </c>
      <c r="AU6" s="71">
        <v>299.2</v>
      </c>
      <c r="AV6" s="71">
        <v>179</v>
      </c>
      <c r="AW6" s="71">
        <v>135.19999999999999</v>
      </c>
      <c r="AX6" s="301">
        <v>613.29999999999995</v>
      </c>
      <c r="AY6" s="214">
        <v>130.5</v>
      </c>
      <c r="AZ6" s="71">
        <v>301.89999999999998</v>
      </c>
      <c r="BA6" s="71">
        <v>178.8</v>
      </c>
      <c r="BB6" s="71">
        <v>138.80000000000001</v>
      </c>
      <c r="BC6" s="301">
        <v>619.5</v>
      </c>
      <c r="BD6" s="214">
        <v>130.80000000000001</v>
      </c>
      <c r="BE6" s="71">
        <v>303</v>
      </c>
      <c r="BF6" s="71">
        <v>181</v>
      </c>
      <c r="BG6" s="71">
        <v>140.5</v>
      </c>
      <c r="BH6" s="301">
        <v>624.5</v>
      </c>
      <c r="BI6" s="214">
        <v>123.6</v>
      </c>
      <c r="BJ6" s="71">
        <v>245.3</v>
      </c>
      <c r="BK6" s="71">
        <v>165.5</v>
      </c>
      <c r="BL6" s="71">
        <v>126.1</v>
      </c>
      <c r="BM6" s="301">
        <v>536.9</v>
      </c>
      <c r="BN6" s="214">
        <v>117.8</v>
      </c>
      <c r="BO6" s="71">
        <v>274.3</v>
      </c>
      <c r="BP6" s="71">
        <v>178.7</v>
      </c>
      <c r="BQ6" s="71">
        <v>136.9</v>
      </c>
      <c r="BR6" s="301">
        <v>589.9</v>
      </c>
      <c r="BS6" s="214">
        <v>129.1</v>
      </c>
      <c r="BT6" s="71">
        <v>305.7</v>
      </c>
      <c r="BU6" s="71">
        <v>196.8</v>
      </c>
      <c r="BV6" s="71">
        <v>141.4</v>
      </c>
      <c r="BW6" s="301">
        <v>643.9</v>
      </c>
      <c r="BX6" s="214">
        <v>136.9</v>
      </c>
      <c r="BY6" s="71">
        <v>306.39999999999998</v>
      </c>
      <c r="BZ6" s="71">
        <v>182.8</v>
      </c>
      <c r="CA6" s="71">
        <f>CB6-BZ6-BY6</f>
        <v>139.50000000000006</v>
      </c>
      <c r="CB6" s="301">
        <v>628.70000000000005</v>
      </c>
      <c r="CC6" s="214">
        <v>131.9</v>
      </c>
      <c r="CD6" s="71">
        <v>306.3</v>
      </c>
      <c r="CE6" s="71">
        <v>184.9</v>
      </c>
      <c r="CF6" s="71"/>
      <c r="CG6" s="301"/>
    </row>
    <row r="7" spans="1:87">
      <c r="A7" s="295" t="s">
        <v>141</v>
      </c>
      <c r="B7" s="288"/>
      <c r="C7" s="302">
        <f>+C6/164.3-1</f>
        <v>-5.416920267802805E-2</v>
      </c>
      <c r="D7" s="288">
        <f>+D6/206.9-1</f>
        <v>-4.6399226679555317E-2</v>
      </c>
      <c r="E7" s="288">
        <f>+E6/209.1-1</f>
        <v>-4.2563366810138725E-2</v>
      </c>
      <c r="F7" s="288">
        <f>+F6/162.9-1</f>
        <v>1.4732965009208066E-2</v>
      </c>
      <c r="G7" s="289">
        <f>G6/B6-1</f>
        <v>-3.3638320775026931E-2</v>
      </c>
      <c r="H7" s="302">
        <f>+H6/C6-1</f>
        <v>-1.5444015444015524E-2</v>
      </c>
      <c r="I7" s="288">
        <f>+I6/D6-1</f>
        <v>1.4191586416624435E-2</v>
      </c>
      <c r="J7" s="288">
        <f>+J6/E6-1</f>
        <v>-2.5974025974025872E-2</v>
      </c>
      <c r="K7" s="288">
        <f>+K6/F6-1</f>
        <v>-8.4089534180278314E-2</v>
      </c>
      <c r="L7" s="286">
        <f>L6/G6-1</f>
        <v>-2.6037315510999748E-2</v>
      </c>
      <c r="M7" s="305">
        <f>M6/G6-1</f>
        <v>-6.5441381230855189E-3</v>
      </c>
      <c r="N7" s="302">
        <f>+N6/H6-1</f>
        <v>-1.8300653594771288E-2</v>
      </c>
      <c r="O7" s="288">
        <f>+O6/I6-1</f>
        <v>-7.9960019990005016E-2</v>
      </c>
      <c r="P7" s="288">
        <f>+P6/J6-1</f>
        <v>-3.4871794871794926E-2</v>
      </c>
      <c r="Q7" s="288">
        <f>+Q6/K6-1</f>
        <v>-5.5052840158520189E-2</v>
      </c>
      <c r="R7" s="289">
        <f>R6/L6-1</f>
        <v>-4.8513223731236566E-2</v>
      </c>
      <c r="S7" s="302" t="s">
        <v>61</v>
      </c>
      <c r="T7" s="288" t="s">
        <v>61</v>
      </c>
      <c r="U7" s="288" t="s">
        <v>61</v>
      </c>
      <c r="V7" s="288">
        <f>V6/AM6-1</f>
        <v>7.1953010279001584E-2</v>
      </c>
      <c r="W7" s="289">
        <f>W6/M6-1</f>
        <v>-4.7792571829011976E-2</v>
      </c>
      <c r="X7" s="302">
        <f>X6/S6-1</f>
        <v>-7.3759791122715246E-2</v>
      </c>
      <c r="Y7" s="288">
        <f>Y6/T6-1</f>
        <v>-5.6854410201912842E-2</v>
      </c>
      <c r="Z7" s="288"/>
      <c r="AA7" s="288">
        <f>AA6/U6-1</f>
        <v>-3.645833333333337E-2</v>
      </c>
      <c r="AB7" s="288">
        <f>AB6/V6-1</f>
        <v>1.369863013698458E-3</v>
      </c>
      <c r="AC7" s="289">
        <f>AC6/W6-1</f>
        <v>-4.239034442154832E-2</v>
      </c>
      <c r="AD7" s="302">
        <f>AD6/X6-1</f>
        <v>-7.4700493305144389E-2</v>
      </c>
      <c r="AE7" s="288">
        <f>AE6/Y6-1</f>
        <v>-1.6338028169014085E-2</v>
      </c>
      <c r="AF7" s="288">
        <f>AF6/(X6+Y6)-1</f>
        <v>-4.2266750156543575E-2</v>
      </c>
      <c r="AG7" s="288">
        <f>AG6/AA6-1</f>
        <v>-9.6216216216216233E-2</v>
      </c>
      <c r="AH7" s="288">
        <f>AH6/AB6-1</f>
        <v>-2.8043775649794767E-2</v>
      </c>
      <c r="AI7" s="289">
        <f>AI6/AC6-1</f>
        <v>-5.4411312634491171E-2</v>
      </c>
      <c r="AJ7" s="302">
        <f>AJ6/AD6-1</f>
        <v>3.351104341203337E-2</v>
      </c>
      <c r="AK7" s="288">
        <f>AK6/(AD6+AE6)-1</f>
        <v>-1.9614253023862993E-3</v>
      </c>
      <c r="AL7" s="288">
        <f t="shared" ref="AL7:AQ7" si="0">AL6/AG6-1</f>
        <v>7.416267942583743E-2</v>
      </c>
      <c r="AM7" s="288">
        <f t="shared" si="0"/>
        <v>-4.1520056298381514E-2</v>
      </c>
      <c r="AN7" s="289">
        <f t="shared" si="0"/>
        <v>9.5951501820545904E-3</v>
      </c>
      <c r="AO7" s="302">
        <f t="shared" si="0"/>
        <v>-2.726602800294764E-2</v>
      </c>
      <c r="AP7" s="288">
        <f t="shared" si="0"/>
        <v>-2.7513920733704622E-2</v>
      </c>
      <c r="AQ7" s="288">
        <f t="shared" si="0"/>
        <v>-2.5055679287305122E-2</v>
      </c>
      <c r="AR7" s="288">
        <f>AR6/AM6-1</f>
        <v>-1.1930983847283416E-2</v>
      </c>
      <c r="AS7" s="289">
        <f>AS6/AN6-1</f>
        <v>-2.333897912511429E-2</v>
      </c>
      <c r="AT7" s="302">
        <f>AT6/AO6-1</f>
        <v>-2.1969696969696972E-2</v>
      </c>
      <c r="AU7" s="288">
        <f>AU6/AP6-1</f>
        <v>7.7467160660156242E-3</v>
      </c>
      <c r="AV7" s="288">
        <v>2.1999999999999999E-2</v>
      </c>
      <c r="AW7" s="288">
        <f t="shared" ref="AW7:BE7" si="1">AW6/AR6-1</f>
        <v>4.6442504179824429E-3</v>
      </c>
      <c r="AX7" s="289">
        <f t="shared" si="1"/>
        <v>1.1033456202929948E-2</v>
      </c>
      <c r="AY7" s="302">
        <f t="shared" si="1"/>
        <v>1.0844306738962084E-2</v>
      </c>
      <c r="AZ7" s="288">
        <f t="shared" si="1"/>
        <v>9.024064171123003E-3</v>
      </c>
      <c r="BA7" s="288">
        <f t="shared" si="1"/>
        <v>-1.1173184357541333E-3</v>
      </c>
      <c r="BB7" s="288">
        <f t="shared" si="1"/>
        <v>2.662721893491149E-2</v>
      </c>
      <c r="BC7" s="289">
        <f t="shared" si="1"/>
        <v>1.010924506766675E-2</v>
      </c>
      <c r="BD7" s="302">
        <f t="shared" si="1"/>
        <v>2.2988505747127963E-3</v>
      </c>
      <c r="BE7" s="288">
        <f t="shared" si="1"/>
        <v>3.6435905929115275E-3</v>
      </c>
      <c r="BF7" s="288">
        <f>BF6/BA6-1</f>
        <v>1.230425055928408E-2</v>
      </c>
      <c r="BG7" s="288">
        <v>1.2E-2</v>
      </c>
      <c r="BH7" s="289">
        <f>BH6/BC6-1</f>
        <v>8.0710250201776468E-3</v>
      </c>
      <c r="BI7" s="302">
        <v>-5.5E-2</v>
      </c>
      <c r="BJ7" s="288">
        <v>-0.19042904290429041</v>
      </c>
      <c r="BK7" s="288">
        <f>BK6/BF6-1</f>
        <v>-8.5635359116022047E-2</v>
      </c>
      <c r="BL7" s="288">
        <f>BL6/BG6-1</f>
        <v>-0.10249110320284704</v>
      </c>
      <c r="BM7" s="289">
        <f>BM6/BH6-1</f>
        <v>-0.14027221777421939</v>
      </c>
      <c r="BN7" s="302">
        <v>-4.7E-2</v>
      </c>
      <c r="BO7" s="288">
        <v>0.11799999999999999</v>
      </c>
      <c r="BP7" s="288">
        <f>BP6/BK6-1</f>
        <v>7.9758308157099611E-2</v>
      </c>
      <c r="BQ7" s="288">
        <f>BQ6/BL6-1</f>
        <v>8.5646312450436302E-2</v>
      </c>
      <c r="BR7" s="289">
        <f>BR6/BM6-1</f>
        <v>9.8714844477556296E-2</v>
      </c>
      <c r="BS7" s="302">
        <v>9.6000000000000002E-2</v>
      </c>
      <c r="BT7" s="288">
        <f>BT6/BO6-1</f>
        <v>0.11447320452059784</v>
      </c>
      <c r="BU7" s="288">
        <v>0.10128707330721894</v>
      </c>
      <c r="BV7" s="288">
        <v>3.2870708546384221E-2</v>
      </c>
      <c r="BW7" s="289">
        <f>BW6/BR6-1</f>
        <v>9.1540939142227495E-2</v>
      </c>
      <c r="BX7" s="302">
        <v>6.0418280402788627E-2</v>
      </c>
      <c r="BY7" s="288">
        <v>2E-3</v>
      </c>
      <c r="BZ7" s="288">
        <f>BZ6/BU6-1</f>
        <v>-7.1138211382113847E-2</v>
      </c>
      <c r="CA7" s="288">
        <f>CA6/BV6-1</f>
        <v>-1.3437057991513068E-2</v>
      </c>
      <c r="CB7" s="289">
        <v>-2.4E-2</v>
      </c>
      <c r="CC7" s="302">
        <v>-3.6999999999999998E-2</v>
      </c>
      <c r="CD7" s="501">
        <v>0</v>
      </c>
      <c r="CE7" s="288">
        <v>1.0999999999999999E-2</v>
      </c>
      <c r="CF7" s="288"/>
      <c r="CG7" s="289"/>
      <c r="CI7" s="496"/>
    </row>
    <row r="8" spans="1:87" s="90" customFormat="1">
      <c r="A8" s="294" t="s">
        <v>7</v>
      </c>
      <c r="B8" s="72">
        <f>'Annual Segmental Analysis'!C8</f>
        <v>388.3</v>
      </c>
      <c r="C8" s="214">
        <v>79.8</v>
      </c>
      <c r="D8" s="71">
        <v>105.4</v>
      </c>
      <c r="E8" s="71">
        <v>115.6</v>
      </c>
      <c r="F8" s="71">
        <v>90.9</v>
      </c>
      <c r="G8" s="301">
        <f>SUM(C8:F8)</f>
        <v>391.69999999999993</v>
      </c>
      <c r="H8" s="308">
        <v>79.2</v>
      </c>
      <c r="I8" s="72">
        <v>116.5</v>
      </c>
      <c r="J8" s="72">
        <v>113.7</v>
      </c>
      <c r="K8" s="72">
        <v>90.3</v>
      </c>
      <c r="L8" s="73">
        <f>SUM(H8:K8)</f>
        <v>399.7</v>
      </c>
      <c r="M8" s="309">
        <v>399.7</v>
      </c>
      <c r="N8" s="214">
        <v>79.400000000000006</v>
      </c>
      <c r="O8" s="71">
        <v>108.7</v>
      </c>
      <c r="P8" s="71">
        <v>114.1</v>
      </c>
      <c r="Q8" s="71">
        <f>R8-SUM(N8:P8)</f>
        <v>91.299999999999955</v>
      </c>
      <c r="R8" s="301">
        <v>393.5</v>
      </c>
      <c r="S8" s="214">
        <v>79.400000000000006</v>
      </c>
      <c r="T8" s="71">
        <v>108.7</v>
      </c>
      <c r="U8" s="71">
        <f>W8-T8-S8-V8</f>
        <v>114.10000000000001</v>
      </c>
      <c r="V8" s="71">
        <v>91.3</v>
      </c>
      <c r="W8" s="301">
        <v>393.5</v>
      </c>
      <c r="X8" s="308">
        <v>76.8</v>
      </c>
      <c r="Y8" s="72">
        <v>105.5</v>
      </c>
      <c r="Z8" s="72">
        <f>X8+Y8</f>
        <v>182.3</v>
      </c>
      <c r="AA8" s="72">
        <v>112.1</v>
      </c>
      <c r="AB8" s="72">
        <v>86.6</v>
      </c>
      <c r="AC8" s="301">
        <v>381</v>
      </c>
      <c r="AD8" s="308">
        <v>70</v>
      </c>
      <c r="AE8" s="72">
        <v>100.3</v>
      </c>
      <c r="AF8" s="72">
        <v>170.3</v>
      </c>
      <c r="AG8" s="72">
        <v>100.2</v>
      </c>
      <c r="AH8" s="72">
        <v>87.8</v>
      </c>
      <c r="AI8" s="301">
        <v>358.3</v>
      </c>
      <c r="AJ8" s="214">
        <v>79.599999999999994</v>
      </c>
      <c r="AK8" s="71">
        <v>180.8</v>
      </c>
      <c r="AL8" s="71">
        <v>110.6</v>
      </c>
      <c r="AM8" s="71">
        <f>+AN8-AK8-AL8</f>
        <v>87.299999999999983</v>
      </c>
      <c r="AN8" s="301">
        <v>378.7</v>
      </c>
      <c r="AO8" s="214">
        <v>81.099999999999994</v>
      </c>
      <c r="AP8" s="71">
        <v>187.1</v>
      </c>
      <c r="AQ8" s="71">
        <v>105.9</v>
      </c>
      <c r="AR8" s="71">
        <f>+AS8-AP8-AQ8</f>
        <v>90.5</v>
      </c>
      <c r="AS8" s="301">
        <v>383.5</v>
      </c>
      <c r="AT8" s="214">
        <v>78.2</v>
      </c>
      <c r="AU8" s="71">
        <v>188.6</v>
      </c>
      <c r="AV8" s="71">
        <v>111.3</v>
      </c>
      <c r="AW8" s="71">
        <v>94.2</v>
      </c>
      <c r="AX8" s="301">
        <v>394.2</v>
      </c>
      <c r="AY8" s="214">
        <v>87.4</v>
      </c>
      <c r="AZ8" s="71">
        <v>205.4</v>
      </c>
      <c r="BA8" s="71">
        <v>123.9</v>
      </c>
      <c r="BB8" s="71">
        <v>99.7</v>
      </c>
      <c r="BC8" s="301">
        <v>429</v>
      </c>
      <c r="BD8" s="214">
        <v>89.7</v>
      </c>
      <c r="BE8" s="71">
        <v>208.2</v>
      </c>
      <c r="BF8" s="71">
        <v>118.9</v>
      </c>
      <c r="BG8" s="71">
        <v>104</v>
      </c>
      <c r="BH8" s="301">
        <v>431.1</v>
      </c>
      <c r="BI8" s="214">
        <v>91.3</v>
      </c>
      <c r="BJ8" s="71">
        <v>189.7</v>
      </c>
      <c r="BK8" s="71">
        <v>121.9</v>
      </c>
      <c r="BL8" s="71">
        <v>100.5</v>
      </c>
      <c r="BM8" s="301">
        <v>412.1</v>
      </c>
      <c r="BN8" s="214">
        <v>80.900000000000006</v>
      </c>
      <c r="BO8" s="71">
        <v>190.9</v>
      </c>
      <c r="BP8" s="71">
        <v>119.6</v>
      </c>
      <c r="BQ8" s="71">
        <v>105</v>
      </c>
      <c r="BR8" s="301">
        <v>415.5</v>
      </c>
      <c r="BS8" s="214">
        <v>100.3</v>
      </c>
      <c r="BT8" s="71">
        <v>230.4</v>
      </c>
      <c r="BU8" s="71">
        <v>133</v>
      </c>
      <c r="BV8" s="71">
        <v>115.4</v>
      </c>
      <c r="BW8" s="301">
        <v>478.80000000000007</v>
      </c>
      <c r="BX8" s="214">
        <v>100.3</v>
      </c>
      <c r="BY8" s="71">
        <v>227.3</v>
      </c>
      <c r="BZ8" s="71">
        <v>129.5</v>
      </c>
      <c r="CA8" s="71">
        <f>CB8-BZ8-BY8</f>
        <v>114.19999999999999</v>
      </c>
      <c r="CB8" s="301">
        <v>471</v>
      </c>
      <c r="CC8" s="214">
        <v>104.5</v>
      </c>
      <c r="CD8" s="71">
        <v>234.3</v>
      </c>
      <c r="CE8" s="71">
        <v>132.80000000000001</v>
      </c>
      <c r="CF8" s="71"/>
      <c r="CG8" s="301"/>
    </row>
    <row r="9" spans="1:87">
      <c r="A9" s="295" t="s">
        <v>141</v>
      </c>
      <c r="B9" s="288"/>
      <c r="C9" s="302">
        <f>+C8/78.6-1</f>
        <v>1.5267175572519109E-2</v>
      </c>
      <c r="D9" s="288">
        <f>+D8/109-1</f>
        <v>-3.3027522935779818E-2</v>
      </c>
      <c r="E9" s="288">
        <f>+E8/116.7-1</f>
        <v>-9.425878320479919E-3</v>
      </c>
      <c r="F9" s="288">
        <f>+F8/84-1</f>
        <v>8.2142857142857295E-2</v>
      </c>
      <c r="G9" s="289">
        <f>G8/B8-1</f>
        <v>8.7561164048413076E-3</v>
      </c>
      <c r="H9" s="302">
        <f>+H8/C8-1</f>
        <v>-7.5187969924811471E-3</v>
      </c>
      <c r="I9" s="288">
        <f>+I8/D8-1</f>
        <v>0.10531309297912705</v>
      </c>
      <c r="J9" s="288">
        <f>+J8/E8-1</f>
        <v>-1.6435986159169524E-2</v>
      </c>
      <c r="K9" s="288">
        <f>+K8/F8-1</f>
        <v>-6.6006600660066805E-3</v>
      </c>
      <c r="L9" s="286">
        <f>L8/G8-1</f>
        <v>2.0423793719683614E-2</v>
      </c>
      <c r="M9" s="305">
        <f>M8/G8-1</f>
        <v>2.0423793719683614E-2</v>
      </c>
      <c r="N9" s="302">
        <f>+N8/H8-1</f>
        <v>2.525252525252597E-3</v>
      </c>
      <c r="O9" s="288">
        <f>+O8/I8-1</f>
        <v>-6.6952789699570747E-2</v>
      </c>
      <c r="P9" s="288">
        <f>+P8/J8-1</f>
        <v>3.5180299032540052E-3</v>
      </c>
      <c r="Q9" s="288">
        <f>+Q8/K8-1</f>
        <v>1.1074197120708229E-2</v>
      </c>
      <c r="R9" s="289">
        <f>R8/L8-1</f>
        <v>-1.5511633725293961E-2</v>
      </c>
      <c r="S9" s="302" t="s">
        <v>61</v>
      </c>
      <c r="T9" s="288" t="s">
        <v>61</v>
      </c>
      <c r="U9" s="288" t="s">
        <v>61</v>
      </c>
      <c r="V9" s="288">
        <f>V8/AM8-1</f>
        <v>4.5819014891180121E-2</v>
      </c>
      <c r="W9" s="289">
        <f>W8/M8-1</f>
        <v>-1.5511633725293961E-2</v>
      </c>
      <c r="X9" s="302">
        <f>X8/S8-1</f>
        <v>-3.2745591939546737E-2</v>
      </c>
      <c r="Y9" s="288">
        <f>Y8/T8-1</f>
        <v>-2.9438822447102164E-2</v>
      </c>
      <c r="Z9" s="288"/>
      <c r="AA9" s="288">
        <f>AA8/U8-1</f>
        <v>-1.7528483786152571E-2</v>
      </c>
      <c r="AB9" s="288">
        <f>AB8/V8-1</f>
        <v>-5.1478641840087658E-2</v>
      </c>
      <c r="AC9" s="289">
        <f>AC8/W8-1</f>
        <v>-3.1766200762388785E-2</v>
      </c>
      <c r="AD9" s="302">
        <f>AD8/X8-1</f>
        <v>-8.854166666666663E-2</v>
      </c>
      <c r="AE9" s="288">
        <f>AE8/Y8-1</f>
        <v>-4.9289099526066416E-2</v>
      </c>
      <c r="AF9" s="288">
        <f>AF8/(X8+Y8)-1</f>
        <v>-6.5825562260011017E-2</v>
      </c>
      <c r="AG9" s="288">
        <f>AG8/AA8-1</f>
        <v>-0.10615521855486165</v>
      </c>
      <c r="AH9" s="288">
        <f>AH8/AB8-1</f>
        <v>1.3856812933025431E-2</v>
      </c>
      <c r="AI9" s="289">
        <f>AI8/AC8-1</f>
        <v>-5.958005249343834E-2</v>
      </c>
      <c r="AJ9" s="302">
        <f>AJ8/AD8-1</f>
        <v>0.13714285714285701</v>
      </c>
      <c r="AK9" s="288">
        <f>AK8/(AD8+AE8)-1</f>
        <v>6.1655901350557762E-2</v>
      </c>
      <c r="AL9" s="288">
        <f t="shared" ref="AL9:AQ9" si="2">AL8/AG8-1</f>
        <v>0.10379241516966053</v>
      </c>
      <c r="AM9" s="288">
        <f t="shared" si="2"/>
        <v>-5.6947608200457189E-3</v>
      </c>
      <c r="AN9" s="289">
        <f t="shared" si="2"/>
        <v>5.693552888640796E-2</v>
      </c>
      <c r="AO9" s="302">
        <f t="shared" si="2"/>
        <v>1.8844221105527748E-2</v>
      </c>
      <c r="AP9" s="288">
        <f t="shared" si="2"/>
        <v>3.4845132743362761E-2</v>
      </c>
      <c r="AQ9" s="288">
        <f t="shared" si="2"/>
        <v>-4.2495479204339826E-2</v>
      </c>
      <c r="AR9" s="288">
        <f t="shared" ref="AR9:AY9" si="3">AR8/AM8-1</f>
        <v>3.6655211912943964E-2</v>
      </c>
      <c r="AS9" s="289">
        <f t="shared" si="3"/>
        <v>1.2674940586216099E-2</v>
      </c>
      <c r="AT9" s="302">
        <f t="shared" si="3"/>
        <v>-3.5758323057953012E-2</v>
      </c>
      <c r="AU9" s="288">
        <f t="shared" si="3"/>
        <v>8.0171031533939896E-3</v>
      </c>
      <c r="AV9" s="288">
        <f t="shared" si="3"/>
        <v>5.0991501416430607E-2</v>
      </c>
      <c r="AW9" s="288">
        <f t="shared" si="3"/>
        <v>4.0883977900552537E-2</v>
      </c>
      <c r="AX9" s="289">
        <f t="shared" si="3"/>
        <v>2.790091264667538E-2</v>
      </c>
      <c r="AY9" s="302">
        <f t="shared" si="3"/>
        <v>0.11764705882352944</v>
      </c>
      <c r="AZ9" s="288">
        <f>AZ8/AU8-1</f>
        <v>8.9077412513255627E-2</v>
      </c>
      <c r="BA9" s="288">
        <f>BA8/AV8-1</f>
        <v>0.1132075471698113</v>
      </c>
      <c r="BB9" s="288">
        <f>(BB8/AW8-1)</f>
        <v>5.8386411889596701E-2</v>
      </c>
      <c r="BC9" s="289">
        <f>BC8/AX8-1</f>
        <v>8.8280060882800715E-2</v>
      </c>
      <c r="BD9" s="302">
        <f t="shared" ref="BD9:BE9" si="4">BD8/AY8-1</f>
        <v>2.631578947368407E-2</v>
      </c>
      <c r="BE9" s="288">
        <f t="shared" si="4"/>
        <v>1.3631937682570427E-2</v>
      </c>
      <c r="BF9" s="288">
        <f>BF8/BA8-1</f>
        <v>-4.035512510088779E-2</v>
      </c>
      <c r="BG9" s="288">
        <f>BG8/BB8-1</f>
        <v>4.312938816449341E-2</v>
      </c>
      <c r="BH9" s="289">
        <f>BH8/BC8-1</f>
        <v>4.8951048951049181E-3</v>
      </c>
      <c r="BI9" s="302" t="s">
        <v>135</v>
      </c>
      <c r="BJ9" s="288">
        <v>-8.8856868395773336E-2</v>
      </c>
      <c r="BK9" s="288">
        <f>BK8/BF8-1</f>
        <v>2.5231286795626584E-2</v>
      </c>
      <c r="BL9" s="288">
        <f>BL8/BG8-1</f>
        <v>-3.3653846153846145E-2</v>
      </c>
      <c r="BM9" s="289">
        <f>BM8/BH8-1</f>
        <v>-4.4073300858269548E-2</v>
      </c>
      <c r="BN9" s="302">
        <v>-0.114</v>
      </c>
      <c r="BO9" s="288">
        <v>6.0000000000000001E-3</v>
      </c>
      <c r="BP9" s="288">
        <f>BP8/BK8-1</f>
        <v>-1.8867924528301994E-2</v>
      </c>
      <c r="BQ9" s="288">
        <f>BQ8/BL8-1</f>
        <v>4.4776119402984982E-2</v>
      </c>
      <c r="BR9" s="289">
        <f>BR8/BM8-1</f>
        <v>8.250424654210109E-3</v>
      </c>
      <c r="BS9" s="302">
        <v>0.24</v>
      </c>
      <c r="BT9" s="288">
        <f>BT8/BO8-1</f>
        <v>0.20691461498166586</v>
      </c>
      <c r="BU9" s="288">
        <v>0.11204013377926426</v>
      </c>
      <c r="BV9" s="288">
        <v>9.9047619047619107E-2</v>
      </c>
      <c r="BW9" s="289">
        <f>BW8/BR8-1</f>
        <v>0.15234657039711208</v>
      </c>
      <c r="BX9" s="302">
        <v>0</v>
      </c>
      <c r="BY9" s="288">
        <v>-1.2999999999999999E-2</v>
      </c>
      <c r="BZ9" s="288">
        <f>BZ8/BU8-1</f>
        <v>-2.6315789473684181E-2</v>
      </c>
      <c r="CA9" s="288">
        <f>CA8/BV8-1</f>
        <v>-1.0398613518197708E-2</v>
      </c>
      <c r="CB9" s="289">
        <v>-1.6E-2</v>
      </c>
      <c r="CC9" s="302">
        <v>4.2000000000000003E-2</v>
      </c>
      <c r="CD9" s="288">
        <v>3.1E-2</v>
      </c>
      <c r="CE9" s="288">
        <v>2.5000000000000001E-2</v>
      </c>
      <c r="CF9" s="288"/>
      <c r="CG9" s="289"/>
      <c r="CI9" s="496"/>
    </row>
    <row r="10" spans="1:87" s="90" customFormat="1">
      <c r="A10" s="294" t="s">
        <v>15</v>
      </c>
      <c r="B10" s="72">
        <f>'Annual Segmental Analysis'!C10</f>
        <v>937.8</v>
      </c>
      <c r="C10" s="214">
        <v>195.9</v>
      </c>
      <c r="D10" s="71">
        <v>275.2</v>
      </c>
      <c r="E10" s="71">
        <v>294.7</v>
      </c>
      <c r="F10" s="71">
        <v>224.3</v>
      </c>
      <c r="G10" s="301">
        <f>SUM(C10:F10)</f>
        <v>990.09999999999991</v>
      </c>
      <c r="H10" s="308">
        <v>201.6</v>
      </c>
      <c r="I10" s="72">
        <v>285.89999999999998</v>
      </c>
      <c r="J10" s="72">
        <v>273</v>
      </c>
      <c r="K10" s="72">
        <v>223.7</v>
      </c>
      <c r="L10" s="73">
        <f>SUM(H10:K10)</f>
        <v>984.2</v>
      </c>
      <c r="M10" s="309">
        <v>974.2</v>
      </c>
      <c r="N10" s="214">
        <v>195.9</v>
      </c>
      <c r="O10" s="71">
        <v>292.2</v>
      </c>
      <c r="P10" s="71">
        <v>291.7</v>
      </c>
      <c r="Q10" s="71">
        <f>R10-SUM(N10:P10)</f>
        <v>241.73900000000003</v>
      </c>
      <c r="R10" s="301">
        <v>1021.539</v>
      </c>
      <c r="S10" s="214">
        <v>194.4</v>
      </c>
      <c r="T10" s="71">
        <v>289.7</v>
      </c>
      <c r="U10" s="71">
        <f>W10-T10-S10-V10</f>
        <v>288.09999999999991</v>
      </c>
      <c r="V10" s="71">
        <v>239.6</v>
      </c>
      <c r="W10" s="301">
        <v>1011.8</v>
      </c>
      <c r="X10" s="308">
        <v>208</v>
      </c>
      <c r="Y10" s="72">
        <v>294.7</v>
      </c>
      <c r="Z10" s="72">
        <f>X10+Y10</f>
        <v>502.7</v>
      </c>
      <c r="AA10" s="72">
        <v>277.89999999999998</v>
      </c>
      <c r="AB10" s="72">
        <v>248.3</v>
      </c>
      <c r="AC10" s="301">
        <v>1028.9000000000001</v>
      </c>
      <c r="AD10" s="308">
        <v>208.3</v>
      </c>
      <c r="AE10" s="72">
        <v>285.7</v>
      </c>
      <c r="AF10" s="72">
        <v>494</v>
      </c>
      <c r="AG10" s="72">
        <v>280.2</v>
      </c>
      <c r="AH10" s="72">
        <v>255.2</v>
      </c>
      <c r="AI10" s="301">
        <v>1029.4000000000001</v>
      </c>
      <c r="AJ10" s="214">
        <v>223.7</v>
      </c>
      <c r="AK10" s="71">
        <v>520.5</v>
      </c>
      <c r="AL10" s="71">
        <v>286.89999999999998</v>
      </c>
      <c r="AM10" s="71">
        <f>247.8</f>
        <v>247.8</v>
      </c>
      <c r="AN10" s="301">
        <v>1055.2108842570001</v>
      </c>
      <c r="AO10" s="214">
        <v>226.5</v>
      </c>
      <c r="AP10" s="71">
        <v>523.29999999999995</v>
      </c>
      <c r="AQ10" s="71">
        <v>290.60000000000002</v>
      </c>
      <c r="AR10" s="71">
        <v>253.94200000000001</v>
      </c>
      <c r="AS10" s="301">
        <v>1067.812523391</v>
      </c>
      <c r="AT10" s="214">
        <v>235.5</v>
      </c>
      <c r="AU10" s="71">
        <v>533.1</v>
      </c>
      <c r="AV10" s="71">
        <v>300.7</v>
      </c>
      <c r="AW10" s="71">
        <v>262.8</v>
      </c>
      <c r="AX10" s="301">
        <v>1096.5999999999999</v>
      </c>
      <c r="AY10" s="214">
        <v>235.3</v>
      </c>
      <c r="AZ10" s="71">
        <v>560.1</v>
      </c>
      <c r="BA10" s="71">
        <v>313</v>
      </c>
      <c r="BB10" s="71">
        <v>270.7</v>
      </c>
      <c r="BC10" s="301">
        <v>1143.8</v>
      </c>
      <c r="BD10" s="214">
        <v>248.7</v>
      </c>
      <c r="BE10" s="71">
        <v>579.20000000000005</v>
      </c>
      <c r="BF10" s="71">
        <v>322.5</v>
      </c>
      <c r="BG10" s="71">
        <v>307.2</v>
      </c>
      <c r="BH10" s="301">
        <v>1208.9000000000001</v>
      </c>
      <c r="BI10" s="214">
        <v>268.8</v>
      </c>
      <c r="BJ10" s="71">
        <v>555.5</v>
      </c>
      <c r="BK10" s="71">
        <v>326.3</v>
      </c>
      <c r="BL10" s="71">
        <v>304.8</v>
      </c>
      <c r="BM10" s="301">
        <v>1186.5999999999999</v>
      </c>
      <c r="BN10" s="214">
        <v>292.10000000000002</v>
      </c>
      <c r="BO10" s="71">
        <v>661.5</v>
      </c>
      <c r="BP10" s="71">
        <v>395.9</v>
      </c>
      <c r="BQ10" s="71">
        <v>349.9</v>
      </c>
      <c r="BR10" s="301">
        <v>1407.3</v>
      </c>
      <c r="BS10" s="214">
        <v>376.1</v>
      </c>
      <c r="BT10" s="71">
        <v>794.1</v>
      </c>
      <c r="BU10" s="71">
        <v>427.7</v>
      </c>
      <c r="BV10" s="71">
        <v>367.3</v>
      </c>
      <c r="BW10" s="301">
        <v>1589.1</v>
      </c>
      <c r="BX10" s="214">
        <v>383.9</v>
      </c>
      <c r="BY10" s="71">
        <v>849.4</v>
      </c>
      <c r="BZ10" s="71">
        <v>472.9</v>
      </c>
      <c r="CA10" s="71">
        <f>CB10-BZ10-BY10</f>
        <v>413.50000000000011</v>
      </c>
      <c r="CB10" s="301">
        <v>1735.8</v>
      </c>
      <c r="CC10" s="214">
        <v>396.2</v>
      </c>
      <c r="CD10" s="71">
        <v>886.1</v>
      </c>
      <c r="CE10" s="71">
        <v>499.6</v>
      </c>
      <c r="CF10" s="71"/>
      <c r="CG10" s="301"/>
    </row>
    <row r="11" spans="1:87">
      <c r="A11" s="295" t="s">
        <v>141</v>
      </c>
      <c r="B11" s="288"/>
      <c r="C11" s="302">
        <f>+C10/197.9-1</f>
        <v>-1.0106114199090466E-2</v>
      </c>
      <c r="D11" s="288">
        <f>+D10/276.7-1</f>
        <v>-5.4210336104083545E-3</v>
      </c>
      <c r="E11" s="288">
        <f>+E10/257.8-1</f>
        <v>0.14313421256788206</v>
      </c>
      <c r="F11" s="288">
        <f>+F10/205.4-1</f>
        <v>9.2015579357351607E-2</v>
      </c>
      <c r="G11" s="289">
        <f>G10/B10-1</f>
        <v>5.5768820644060524E-2</v>
      </c>
      <c r="H11" s="302">
        <f>+H10/C10-1</f>
        <v>2.9096477794793296E-2</v>
      </c>
      <c r="I11" s="288">
        <f>+I10/D10-1</f>
        <v>3.8880813953488413E-2</v>
      </c>
      <c r="J11" s="288">
        <f>+J10/E10-1</f>
        <v>-7.3634204275534354E-2</v>
      </c>
      <c r="K11" s="288">
        <f>+K10/F10-1</f>
        <v>-2.6749888542132449E-3</v>
      </c>
      <c r="L11" s="286">
        <f>L10/G10-1</f>
        <v>-5.9589940410058606E-3</v>
      </c>
      <c r="M11" s="305">
        <f>M10/G10-1</f>
        <v>-1.6058983941015903E-2</v>
      </c>
      <c r="N11" s="302">
        <f>+N10/H10-1</f>
        <v>-2.8273809523809423E-2</v>
      </c>
      <c r="O11" s="288">
        <f>+O10/I10-1</f>
        <v>2.2035676810073568E-2</v>
      </c>
      <c r="P11" s="288">
        <f>+P10/J10-1</f>
        <v>6.8498168498168477E-2</v>
      </c>
      <c r="Q11" s="288">
        <f>+Q10/K10-1</f>
        <v>8.063924899418895E-2</v>
      </c>
      <c r="R11" s="289">
        <f>R10/L10-1</f>
        <v>3.7938427148953346E-2</v>
      </c>
      <c r="S11" s="302" t="s">
        <v>61</v>
      </c>
      <c r="T11" s="288" t="s">
        <v>61</v>
      </c>
      <c r="U11" s="288" t="s">
        <v>61</v>
      </c>
      <c r="V11" s="288">
        <f>V10/AM10-1</f>
        <v>-3.3091202582728019E-2</v>
      </c>
      <c r="W11" s="289">
        <f>W10/M10-1</f>
        <v>3.85957708889344E-2</v>
      </c>
      <c r="X11" s="302">
        <f>X10/S10-1</f>
        <v>6.9958847736625529E-2</v>
      </c>
      <c r="Y11" s="288">
        <f>Y10/T10-1</f>
        <v>1.7259233690024134E-2</v>
      </c>
      <c r="Z11" s="288"/>
      <c r="AA11" s="288">
        <f>AA10/U10-1</f>
        <v>-3.5404373481429885E-2</v>
      </c>
      <c r="AB11" s="288">
        <f>AB10/V10-1</f>
        <v>3.6310517529215325E-2</v>
      </c>
      <c r="AC11" s="289">
        <f>AC10/W10-1</f>
        <v>1.6900573235817395E-2</v>
      </c>
      <c r="AD11" s="302">
        <f>AD10/X10-1</f>
        <v>1.4423076923077982E-3</v>
      </c>
      <c r="AE11" s="288">
        <f>AE10/Y10-1</f>
        <v>-3.0539531727180158E-2</v>
      </c>
      <c r="AF11" s="288">
        <f>AF10/(X10+Y10)-1</f>
        <v>-1.7306544658842182E-2</v>
      </c>
      <c r="AG11" s="288">
        <f>AG10/AA10-1</f>
        <v>8.2763584023031189E-3</v>
      </c>
      <c r="AH11" s="288">
        <f>AH10/AB10-1</f>
        <v>2.778896496173977E-2</v>
      </c>
      <c r="AI11" s="289">
        <f>AI10/AC10-1</f>
        <v>4.8595587520661176E-4</v>
      </c>
      <c r="AJ11" s="302">
        <f>AJ10/AD10-1</f>
        <v>7.3931829092654722E-2</v>
      </c>
      <c r="AK11" s="288">
        <f>AK10/(AD10+AE10)-1</f>
        <v>5.3643724696356365E-2</v>
      </c>
      <c r="AL11" s="288">
        <f t="shared" ref="AL11:AQ11" si="5">AL10/AG10-1</f>
        <v>2.3911491791577477E-2</v>
      </c>
      <c r="AM11" s="288">
        <f t="shared" si="5"/>
        <v>-2.8996865203761657E-2</v>
      </c>
      <c r="AN11" s="289">
        <f t="shared" si="5"/>
        <v>2.5073716977851213E-2</v>
      </c>
      <c r="AO11" s="302">
        <f t="shared" si="5"/>
        <v>1.2516763522574914E-2</v>
      </c>
      <c r="AP11" s="288">
        <f t="shared" si="5"/>
        <v>5.379442843419735E-3</v>
      </c>
      <c r="AQ11" s="288">
        <f t="shared" si="5"/>
        <v>1.2896479609620259E-2</v>
      </c>
      <c r="AR11" s="288">
        <f>AR10/AM10-1</f>
        <v>2.4786117836965271E-2</v>
      </c>
      <c r="AS11" s="289">
        <f>AS10/AN10-1</f>
        <v>1.1942294494880157E-2</v>
      </c>
      <c r="AT11" s="302">
        <f>AT10/AO10-1</f>
        <v>3.9735099337748325E-2</v>
      </c>
      <c r="AU11" s="288">
        <f>AU10/AP10-1</f>
        <v>1.8727307471813726E-2</v>
      </c>
      <c r="AV11" s="288">
        <v>3.5000000000000003E-2</v>
      </c>
      <c r="AW11" s="288">
        <f t="shared" ref="AW11:BE11" si="6">AW10/AR10-1</f>
        <v>3.4881980924778011E-2</v>
      </c>
      <c r="AX11" s="289">
        <f t="shared" si="6"/>
        <v>2.6959298545760513E-2</v>
      </c>
      <c r="AY11" s="302">
        <f t="shared" si="6"/>
        <v>-8.4925690021231404E-4</v>
      </c>
      <c r="AZ11" s="288">
        <f t="shared" si="6"/>
        <v>5.0647158131682524E-2</v>
      </c>
      <c r="BA11" s="288">
        <f t="shared" si="6"/>
        <v>4.0904556035916251E-2</v>
      </c>
      <c r="BB11" s="288">
        <f t="shared" si="6"/>
        <v>3.0060882800608812E-2</v>
      </c>
      <c r="BC11" s="289">
        <f t="shared" si="6"/>
        <v>4.3042130220682262E-2</v>
      </c>
      <c r="BD11" s="302">
        <f t="shared" si="6"/>
        <v>5.69485762855928E-2</v>
      </c>
      <c r="BE11" s="288">
        <f t="shared" si="6"/>
        <v>3.4101053383324365E-2</v>
      </c>
      <c r="BF11" s="288">
        <f>BF10/BA10-1</f>
        <v>3.0351437699680517E-2</v>
      </c>
      <c r="BG11" s="288">
        <f>BG10/BB10-1</f>
        <v>0.13483561137790923</v>
      </c>
      <c r="BH11" s="289">
        <f>BH10/BC10-1</f>
        <v>5.6915544675642638E-2</v>
      </c>
      <c r="BI11" s="302" t="s">
        <v>136</v>
      </c>
      <c r="BJ11" s="288">
        <v>-4.0918508287292932E-2</v>
      </c>
      <c r="BK11" s="288">
        <f>BK10/BF10-1</f>
        <v>1.1782945736434236E-2</v>
      </c>
      <c r="BL11" s="288">
        <f>BL10/BG10-1</f>
        <v>-7.812499999999889E-3</v>
      </c>
      <c r="BM11" s="289">
        <f>BM10/BH10-1</f>
        <v>-1.8446521631235169E-2</v>
      </c>
      <c r="BN11" s="302">
        <v>8.6999999999999994E-2</v>
      </c>
      <c r="BO11" s="288">
        <v>0.191</v>
      </c>
      <c r="BP11" s="288">
        <f>BP10/BK10-1</f>
        <v>0.21330064357952794</v>
      </c>
      <c r="BQ11" s="288">
        <f>BQ10/BL10-1</f>
        <v>0.14796587926509175</v>
      </c>
      <c r="BR11" s="289">
        <f>BR10/BM10-1</f>
        <v>0.18599359514579472</v>
      </c>
      <c r="BS11" s="302">
        <v>0.28799999999999998</v>
      </c>
      <c r="BT11" s="288">
        <f>BT10/BO10-1</f>
        <v>0.20045351473922901</v>
      </c>
      <c r="BU11" s="288">
        <v>8.0323313968173812E-2</v>
      </c>
      <c r="BV11" s="288">
        <v>4.9728493855387357E-2</v>
      </c>
      <c r="BW11" s="289">
        <f>BW10/BR10-1</f>
        <v>0.12918354295459378</v>
      </c>
      <c r="BX11" s="302">
        <v>2.0739165115660606E-2</v>
      </c>
      <c r="BY11" s="288">
        <v>7.0000000000000007E-2</v>
      </c>
      <c r="BZ11" s="288">
        <f>BZ10/BU10-1</f>
        <v>0.10568155249006317</v>
      </c>
      <c r="CA11" s="288">
        <f>CA10/BV10-1</f>
        <v>0.12578273890552705</v>
      </c>
      <c r="CB11" s="289">
        <v>9.1999999999999998E-2</v>
      </c>
      <c r="CC11" s="302">
        <v>3.2000000000000001E-2</v>
      </c>
      <c r="CD11" s="288">
        <v>4.2999999999999997E-2</v>
      </c>
      <c r="CE11" s="288">
        <v>5.6000000000000001E-2</v>
      </c>
      <c r="CF11" s="288"/>
      <c r="CG11" s="289"/>
      <c r="CI11" s="496"/>
    </row>
    <row r="12" spans="1:87" s="91" customFormat="1">
      <c r="A12" s="296" t="s">
        <v>140</v>
      </c>
      <c r="B12" s="75">
        <f>'Annual Segmental Analysis'!C12</f>
        <v>2069.3000000000002</v>
      </c>
      <c r="C12" s="219">
        <f t="shared" ref="C12:AC12" si="7">+C10+C8+C6</f>
        <v>431.1</v>
      </c>
      <c r="D12" s="74">
        <f t="shared" si="7"/>
        <v>577.90000000000009</v>
      </c>
      <c r="E12" s="74">
        <f t="shared" si="7"/>
        <v>610.5</v>
      </c>
      <c r="F12" s="74">
        <f t="shared" si="7"/>
        <v>480.50000000000006</v>
      </c>
      <c r="G12" s="303">
        <f>SUM(C12:F12)</f>
        <v>2100</v>
      </c>
      <c r="H12" s="310">
        <f t="shared" si="7"/>
        <v>433.8</v>
      </c>
      <c r="I12" s="75">
        <f t="shared" si="7"/>
        <v>602.5</v>
      </c>
      <c r="J12" s="75">
        <f t="shared" si="7"/>
        <v>581.70000000000005</v>
      </c>
      <c r="K12" s="75">
        <f t="shared" si="7"/>
        <v>465.4</v>
      </c>
      <c r="L12" s="76">
        <f>SUM(H12:K12)</f>
        <v>2083.4</v>
      </c>
      <c r="M12" s="311">
        <f>+M10+M8+M6</f>
        <v>2087.4</v>
      </c>
      <c r="N12" s="219">
        <f t="shared" si="7"/>
        <v>425.5</v>
      </c>
      <c r="O12" s="74">
        <f t="shared" si="7"/>
        <v>585</v>
      </c>
      <c r="P12" s="74">
        <f t="shared" si="7"/>
        <v>594</v>
      </c>
      <c r="Q12" s="74">
        <f t="shared" si="7"/>
        <v>476.10400000000004</v>
      </c>
      <c r="R12" s="303">
        <f t="shared" si="7"/>
        <v>2080.6040000000003</v>
      </c>
      <c r="S12" s="219">
        <f t="shared" si="7"/>
        <v>427</v>
      </c>
      <c r="T12" s="74">
        <f t="shared" si="7"/>
        <v>586.59999999999991</v>
      </c>
      <c r="U12" s="74">
        <f t="shared" si="7"/>
        <v>594.19999999999993</v>
      </c>
      <c r="V12" s="74">
        <f t="shared" si="7"/>
        <v>476.9</v>
      </c>
      <c r="W12" s="303">
        <f t="shared" si="7"/>
        <v>2084.6999999999998</v>
      </c>
      <c r="X12" s="310">
        <f t="shared" si="7"/>
        <v>426.70000000000005</v>
      </c>
      <c r="Y12" s="75">
        <f t="shared" si="7"/>
        <v>577.70000000000005</v>
      </c>
      <c r="Z12" s="75">
        <f t="shared" si="7"/>
        <v>1004.4</v>
      </c>
      <c r="AA12" s="75">
        <f t="shared" si="7"/>
        <v>575</v>
      </c>
      <c r="AB12" s="75">
        <f t="shared" si="7"/>
        <v>481.09999999999997</v>
      </c>
      <c r="AC12" s="303">
        <f t="shared" si="7"/>
        <v>2060.5</v>
      </c>
      <c r="AD12" s="310">
        <f t="shared" ref="AD12:AL12" si="8">+AD10+AD8+AD6</f>
        <v>409.6</v>
      </c>
      <c r="AE12" s="75">
        <f t="shared" si="8"/>
        <v>560.6</v>
      </c>
      <c r="AF12" s="75">
        <f t="shared" si="8"/>
        <v>970.19999999999993</v>
      </c>
      <c r="AG12" s="75">
        <f t="shared" si="8"/>
        <v>547.59999999999991</v>
      </c>
      <c r="AH12" s="75">
        <f t="shared" si="8"/>
        <v>485.1</v>
      </c>
      <c r="AI12" s="303">
        <f t="shared" si="8"/>
        <v>2002.9</v>
      </c>
      <c r="AJ12" s="219">
        <f t="shared" si="8"/>
        <v>438.99999999999994</v>
      </c>
      <c r="AK12" s="74">
        <f t="shared" si="8"/>
        <v>1006.5999999999999</v>
      </c>
      <c r="AL12" s="74">
        <f t="shared" si="8"/>
        <v>577.1</v>
      </c>
      <c r="AM12" s="74">
        <f>+AM10+AM8+AM6</f>
        <v>471.3</v>
      </c>
      <c r="AN12" s="303">
        <f>+AN10+AN8+AN6</f>
        <v>2055.0138206490001</v>
      </c>
      <c r="AO12" s="219">
        <f>+AO10+AO8+AO6</f>
        <v>439.6</v>
      </c>
      <c r="AP12" s="74">
        <v>1007.3</v>
      </c>
      <c r="AQ12" s="74">
        <v>571.6</v>
      </c>
      <c r="AR12" s="74">
        <f>+AR10+AR8+AR6</f>
        <v>479.017</v>
      </c>
      <c r="AS12" s="303">
        <f>+AS10+AS8+AS6</f>
        <v>2057.9195513160003</v>
      </c>
      <c r="AT12" s="219">
        <f>+AT10+AT8+AT6</f>
        <v>442.79999999999995</v>
      </c>
      <c r="AU12" s="74">
        <v>1020.9</v>
      </c>
      <c r="AV12" s="74">
        <v>591</v>
      </c>
      <c r="AW12" s="74">
        <v>492.2</v>
      </c>
      <c r="AX12" s="303">
        <v>2104.1</v>
      </c>
      <c r="AY12" s="219">
        <f>+AY10+AY8+AY6</f>
        <v>453.20000000000005</v>
      </c>
      <c r="AZ12" s="74">
        <v>1067.4000000000001</v>
      </c>
      <c r="BA12" s="74">
        <v>615.70000000000005</v>
      </c>
      <c r="BB12" s="74">
        <v>509.2</v>
      </c>
      <c r="BC12" s="303">
        <v>2192.3000000000002</v>
      </c>
      <c r="BD12" s="219">
        <v>469.2</v>
      </c>
      <c r="BE12" s="74">
        <v>1090.4000000000001</v>
      </c>
      <c r="BF12" s="74">
        <v>622.4</v>
      </c>
      <c r="BG12" s="74">
        <v>551.70000000000005</v>
      </c>
      <c r="BH12" s="303">
        <v>2264.5</v>
      </c>
      <c r="BI12" s="219">
        <v>483.7</v>
      </c>
      <c r="BJ12" s="74">
        <v>990.5</v>
      </c>
      <c r="BK12" s="74">
        <v>613.70000000000005</v>
      </c>
      <c r="BL12" s="74">
        <f>BL6+BL8+BL10</f>
        <v>531.4</v>
      </c>
      <c r="BM12" s="303">
        <v>2135.6</v>
      </c>
      <c r="BN12" s="219">
        <v>490.8</v>
      </c>
      <c r="BO12" s="74">
        <v>1126.7</v>
      </c>
      <c r="BP12" s="74">
        <v>694.2</v>
      </c>
      <c r="BQ12" s="74">
        <v>591.79999999999973</v>
      </c>
      <c r="BR12" s="303">
        <v>2412.6999999999998</v>
      </c>
      <c r="BS12" s="219">
        <v>605.5</v>
      </c>
      <c r="BT12" s="74">
        <f>SUM(BT10,BT8,BT6)</f>
        <v>1330.2</v>
      </c>
      <c r="BU12" s="74">
        <v>757.5</v>
      </c>
      <c r="BV12" s="74">
        <v>624.1</v>
      </c>
      <c r="BW12" s="303">
        <v>2711.8</v>
      </c>
      <c r="BX12" s="219">
        <v>621.1</v>
      </c>
      <c r="BY12" s="74">
        <v>1383.1</v>
      </c>
      <c r="BZ12" s="74">
        <v>785.2</v>
      </c>
      <c r="CA12" s="74">
        <f>CB12-BZ12-BY12</f>
        <v>667.20000000000027</v>
      </c>
      <c r="CB12" s="303">
        <v>2835.5</v>
      </c>
      <c r="CC12" s="219">
        <v>632.6</v>
      </c>
      <c r="CD12" s="74">
        <v>1426.7</v>
      </c>
      <c r="CE12" s="74">
        <v>817.3</v>
      </c>
      <c r="CF12" s="74"/>
      <c r="CG12" s="303"/>
    </row>
    <row r="13" spans="1:87" ht="14.5" thickBot="1">
      <c r="A13" s="297" t="s">
        <v>141</v>
      </c>
      <c r="B13" s="180"/>
      <c r="C13" s="31">
        <f>+C12/440.8-1</f>
        <v>-2.2005444646097994E-2</v>
      </c>
      <c r="D13" s="42">
        <f>+D12/592.6-1</f>
        <v>-2.4805939925750864E-2</v>
      </c>
      <c r="E13" s="42">
        <f>+E12/583.6-1</f>
        <v>4.6093214530500193E-2</v>
      </c>
      <c r="F13" s="42">
        <f>+F12/452.3-1</f>
        <v>6.234799911563127E-2</v>
      </c>
      <c r="G13" s="98">
        <f>G12/B12-1</f>
        <v>1.483593485719803E-2</v>
      </c>
      <c r="H13" s="31">
        <f>+H12/C12-1</f>
        <v>6.2630480167014113E-3</v>
      </c>
      <c r="I13" s="42">
        <f>+I12/D12-1</f>
        <v>4.2567918324969645E-2</v>
      </c>
      <c r="J13" s="42">
        <f>+J12/E12-1</f>
        <v>-4.7174447174447076E-2</v>
      </c>
      <c r="K13" s="42">
        <f>+K12/F12-1</f>
        <v>-3.142559833506775E-2</v>
      </c>
      <c r="L13" s="97">
        <f>L12/G12-1</f>
        <v>-7.9047619047618589E-3</v>
      </c>
      <c r="M13" s="32">
        <f>M12/G12-1</f>
        <v>-6.0000000000000053E-3</v>
      </c>
      <c r="N13" s="31">
        <f>+N12/H12-1</f>
        <v>-1.9133241124942413E-2</v>
      </c>
      <c r="O13" s="42">
        <f>+O12/I12-1</f>
        <v>-2.9045643153526979E-2</v>
      </c>
      <c r="P13" s="42">
        <f>+P12/J12-1</f>
        <v>2.1144920061887396E-2</v>
      </c>
      <c r="Q13" s="42">
        <f>+Q12/K12-1</f>
        <v>2.2999570262140168E-2</v>
      </c>
      <c r="R13" s="98">
        <f>R12/L12-1</f>
        <v>-1.3420370548141713E-3</v>
      </c>
      <c r="S13" s="31" t="s">
        <v>61</v>
      </c>
      <c r="T13" s="42" t="s">
        <v>61</v>
      </c>
      <c r="U13" s="42" t="s">
        <v>61</v>
      </c>
      <c r="V13" s="42">
        <f>V12/AM12-1</f>
        <v>1.1882028431996483E-2</v>
      </c>
      <c r="W13" s="98">
        <f>W12/M12-1</f>
        <v>-1.2934751365336616E-3</v>
      </c>
      <c r="X13" s="31">
        <f>X12/S12-1</f>
        <v>-7.0257611241208995E-4</v>
      </c>
      <c r="Y13" s="42">
        <f>Y12/T12-1</f>
        <v>-1.5172178656665314E-2</v>
      </c>
      <c r="Z13" s="42"/>
      <c r="AA13" s="42">
        <f>AA12/U12-1</f>
        <v>-3.2312352743184003E-2</v>
      </c>
      <c r="AB13" s="42">
        <f>AB12/V12-1</f>
        <v>8.806877752149278E-3</v>
      </c>
      <c r="AC13" s="98">
        <f>AC12/W12-1</f>
        <v>-1.1608384899505886E-2</v>
      </c>
      <c r="AD13" s="31">
        <f>AD12/X12-1</f>
        <v>-4.0074994141082732E-2</v>
      </c>
      <c r="AE13" s="42">
        <f>AE12/Y12-1</f>
        <v>-2.960013848018006E-2</v>
      </c>
      <c r="AF13" s="42">
        <f>AF12/(X12+Y12)-1</f>
        <v>-3.4050179211469689E-2</v>
      </c>
      <c r="AG13" s="42">
        <f>AG12/AA12-1</f>
        <v>-4.7652173913043661E-2</v>
      </c>
      <c r="AH13" s="42">
        <f>AH12/AB12-1</f>
        <v>8.314279775514466E-3</v>
      </c>
      <c r="AI13" s="98">
        <f>AI12/AC12-1</f>
        <v>-2.7954380004853174E-2</v>
      </c>
      <c r="AJ13" s="31">
        <f>AJ12/AD12-1</f>
        <v>7.1777343749999778E-2</v>
      </c>
      <c r="AK13" s="42">
        <f>AK12/(AD12+AE12)-1</f>
        <v>3.7518037518037284E-2</v>
      </c>
      <c r="AL13" s="42">
        <f t="shared" ref="AL13:AQ13" si="9">AL12/AG12-1</f>
        <v>5.3871439006574429E-2</v>
      </c>
      <c r="AM13" s="42">
        <f t="shared" si="9"/>
        <v>-2.8447742733457071E-2</v>
      </c>
      <c r="AN13" s="98">
        <f t="shared" si="9"/>
        <v>2.6019182509860794E-2</v>
      </c>
      <c r="AO13" s="31">
        <f t="shared" si="9"/>
        <v>1.3667425968111324E-3</v>
      </c>
      <c r="AP13" s="42">
        <f t="shared" si="9"/>
        <v>6.9541029207242921E-4</v>
      </c>
      <c r="AQ13" s="42">
        <f t="shared" si="9"/>
        <v>-9.5304106740599082E-3</v>
      </c>
      <c r="AR13" s="42">
        <f t="shared" ref="AR13:AY13" si="10">AR12/AM12-1</f>
        <v>1.6373859537449631E-2</v>
      </c>
      <c r="AS13" s="98">
        <f t="shared" si="10"/>
        <v>1.4139713503642515E-3</v>
      </c>
      <c r="AT13" s="31">
        <f t="shared" si="10"/>
        <v>7.2793448589625331E-3</v>
      </c>
      <c r="AU13" s="42">
        <f t="shared" si="10"/>
        <v>1.3501439491710565E-2</v>
      </c>
      <c r="AV13" s="42">
        <f t="shared" si="10"/>
        <v>3.393981805458357E-2</v>
      </c>
      <c r="AW13" s="42">
        <f t="shared" si="10"/>
        <v>2.7520943933096342E-2</v>
      </c>
      <c r="AX13" s="98">
        <f t="shared" si="10"/>
        <v>2.2440356647794202E-2</v>
      </c>
      <c r="AY13" s="31">
        <f t="shared" si="10"/>
        <v>2.3486901535682225E-2</v>
      </c>
      <c r="AZ13" s="42">
        <f>AZ12/AU12-1</f>
        <v>4.5548045841904417E-2</v>
      </c>
      <c r="BA13" s="42">
        <f>BA12/AV12-1</f>
        <v>4.1793570219966325E-2</v>
      </c>
      <c r="BB13" s="42">
        <f>BB12/AW12-1</f>
        <v>3.4538805363673264E-2</v>
      </c>
      <c r="BC13" s="98">
        <f>BC12/AX12-1</f>
        <v>4.1918159783280284E-2</v>
      </c>
      <c r="BD13" s="31">
        <f t="shared" ref="BD13" si="11">BD12/AY12-1</f>
        <v>3.5304501323918602E-2</v>
      </c>
      <c r="BE13" s="42">
        <f>BE12/AZ12-1</f>
        <v>2.1547685965898511E-2</v>
      </c>
      <c r="BF13" s="42">
        <f>BF12/BA12-1</f>
        <v>1.0881923014455008E-2</v>
      </c>
      <c r="BG13" s="42">
        <f>BG12/BB12-1</f>
        <v>8.3464257659073171E-2</v>
      </c>
      <c r="BH13" s="98">
        <f>BH12/BC12-1</f>
        <v>3.2933448889294281E-2</v>
      </c>
      <c r="BI13" s="31" t="s">
        <v>137</v>
      </c>
      <c r="BJ13" s="42">
        <v>-9.161775495231117E-2</v>
      </c>
      <c r="BK13" s="42">
        <f>BK12/BF12-1</f>
        <v>-1.3978149100256965E-2</v>
      </c>
      <c r="BL13" s="42">
        <f>BL12/BG12-1</f>
        <v>-3.6795359796991223E-2</v>
      </c>
      <c r="BM13" s="98">
        <f>BM12/BH12-1</f>
        <v>-5.6922057849414953E-2</v>
      </c>
      <c r="BN13" s="31">
        <v>1.4999999999999999E-2</v>
      </c>
      <c r="BO13" s="42">
        <v>0.13800000000000001</v>
      </c>
      <c r="BP13" s="42">
        <f>BP12/BK12-1</f>
        <v>0.13117158220628977</v>
      </c>
      <c r="BQ13" s="42">
        <f>BQ12/BL12-1</f>
        <v>0.11366202484004462</v>
      </c>
      <c r="BR13" s="98">
        <f>BR12/BM12-1</f>
        <v>0.1297527626896422</v>
      </c>
      <c r="BS13" s="31">
        <v>0.23400000000000001</v>
      </c>
      <c r="BT13" s="42">
        <f>BT12/BO12-1</f>
        <v>0.18061595810774822</v>
      </c>
      <c r="BU13" s="42">
        <v>9.11840968020739E-2</v>
      </c>
      <c r="BV13" s="42">
        <v>5.4579249746536516E-2</v>
      </c>
      <c r="BW13" s="98">
        <f>BW12/BR12-1</f>
        <v>0.12396899738881761</v>
      </c>
      <c r="BX13" s="31">
        <v>2.5763831544178401E-2</v>
      </c>
      <c r="BY13" s="42">
        <v>0.04</v>
      </c>
      <c r="BZ13" s="42">
        <f>BZ12/BU12-1</f>
        <v>3.6567656765676526E-2</v>
      </c>
      <c r="CA13" s="42">
        <f t="shared" ref="CA13:CB13" si="12">CA12/BV12-1</f>
        <v>6.905944560166688E-2</v>
      </c>
      <c r="CB13" s="98">
        <f t="shared" si="12"/>
        <v>4.5615458367136208E-2</v>
      </c>
      <c r="CC13" s="31">
        <v>1.9E-2</v>
      </c>
      <c r="CD13" s="42">
        <v>3.2000000000000001E-2</v>
      </c>
      <c r="CE13" s="42">
        <v>4.1000000000000002E-2</v>
      </c>
      <c r="CF13" s="42"/>
      <c r="CG13" s="98"/>
      <c r="CI13" s="496"/>
    </row>
    <row r="14" spans="1:87" ht="14.5" thickBot="1">
      <c r="B14" s="77"/>
      <c r="C14" s="77"/>
      <c r="D14" s="77"/>
      <c r="E14" s="77"/>
      <c r="F14" s="77"/>
      <c r="G14" s="77"/>
      <c r="H14" s="77"/>
      <c r="I14" s="77"/>
      <c r="J14" s="77"/>
      <c r="K14" s="77"/>
      <c r="L14" s="78"/>
      <c r="M14" s="77"/>
      <c r="N14" s="77"/>
      <c r="O14" s="77"/>
      <c r="P14" s="77"/>
      <c r="Q14" s="79"/>
      <c r="R14" s="77"/>
      <c r="S14" s="77"/>
      <c r="T14" s="77"/>
      <c r="U14" s="77"/>
      <c r="V14" s="77"/>
      <c r="W14" s="77"/>
      <c r="X14" s="77"/>
      <c r="Y14" s="77"/>
      <c r="Z14" s="77"/>
      <c r="AA14" s="77"/>
      <c r="AB14" s="77"/>
      <c r="AC14" s="77"/>
      <c r="AD14" s="77"/>
      <c r="AE14" s="77"/>
      <c r="AF14" s="77"/>
      <c r="AG14" s="77"/>
      <c r="AH14" s="77"/>
      <c r="AI14" s="77"/>
      <c r="AJ14" s="77"/>
      <c r="AK14" s="77"/>
      <c r="AL14" s="77"/>
      <c r="AM14" s="77"/>
      <c r="AO14" s="70"/>
      <c r="AP14" s="70"/>
      <c r="AQ14" s="70"/>
      <c r="AR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CD14" s="54"/>
    </row>
    <row r="15" spans="1:87" s="94" customFormat="1" ht="20">
      <c r="A15" s="527" t="s">
        <v>152</v>
      </c>
      <c r="B15" s="306">
        <v>2009</v>
      </c>
      <c r="C15" s="298">
        <v>2010</v>
      </c>
      <c r="D15" s="93"/>
      <c r="E15" s="93"/>
      <c r="F15" s="93"/>
      <c r="G15" s="299"/>
      <c r="H15" s="298">
        <v>2011</v>
      </c>
      <c r="I15" s="93"/>
      <c r="J15" s="93"/>
      <c r="K15" s="93"/>
      <c r="L15" s="93"/>
      <c r="M15" s="299"/>
      <c r="N15" s="298">
        <v>2012</v>
      </c>
      <c r="O15" s="93"/>
      <c r="P15" s="93"/>
      <c r="Q15" s="93"/>
      <c r="R15" s="299"/>
      <c r="S15" s="298" t="s">
        <v>67</v>
      </c>
      <c r="T15" s="93"/>
      <c r="U15" s="93"/>
      <c r="V15" s="93"/>
      <c r="W15" s="299"/>
      <c r="X15" s="312" t="s">
        <v>122</v>
      </c>
      <c r="Y15" s="93"/>
      <c r="Z15" s="93"/>
      <c r="AA15" s="93"/>
      <c r="AB15" s="93"/>
      <c r="AC15" s="299"/>
      <c r="AD15" s="312" t="s">
        <v>124</v>
      </c>
      <c r="AE15" s="93"/>
      <c r="AF15" s="93"/>
      <c r="AG15" s="93"/>
      <c r="AH15" s="93"/>
      <c r="AI15" s="299"/>
      <c r="AJ15" s="298">
        <v>2015</v>
      </c>
      <c r="AK15" s="93"/>
      <c r="AL15" s="93"/>
      <c r="AM15" s="93"/>
      <c r="AN15" s="299"/>
      <c r="AO15" s="298">
        <v>2016</v>
      </c>
      <c r="AP15" s="93"/>
      <c r="AQ15" s="93"/>
      <c r="AR15" s="93"/>
      <c r="AS15" s="299"/>
      <c r="AT15" s="298">
        <v>2017</v>
      </c>
      <c r="AU15" s="93"/>
      <c r="AV15" s="93"/>
      <c r="AW15" s="93"/>
      <c r="AX15" s="299"/>
      <c r="AY15" s="298">
        <v>2018</v>
      </c>
      <c r="AZ15" s="93"/>
      <c r="BA15" s="93"/>
      <c r="BB15" s="93"/>
      <c r="BC15" s="299"/>
      <c r="BD15" s="298">
        <v>2019</v>
      </c>
      <c r="BE15" s="93"/>
      <c r="BF15" s="93"/>
      <c r="BG15" s="93"/>
      <c r="BH15" s="299"/>
      <c r="BI15" s="298">
        <v>2020</v>
      </c>
      <c r="BJ15" s="93"/>
      <c r="BK15" s="93"/>
      <c r="BL15" s="93"/>
      <c r="BM15" s="299"/>
      <c r="BN15" s="298">
        <v>2021</v>
      </c>
      <c r="BO15" s="93"/>
      <c r="BP15" s="93"/>
      <c r="BQ15" s="93"/>
      <c r="BR15" s="299"/>
      <c r="BS15" s="298">
        <v>2022</v>
      </c>
      <c r="BT15" s="93"/>
      <c r="BU15" s="93"/>
      <c r="BV15" s="93"/>
      <c r="BW15" s="299"/>
      <c r="BX15" s="298">
        <v>2023</v>
      </c>
      <c r="BY15" s="93"/>
      <c r="BZ15" s="93"/>
      <c r="CA15" s="93"/>
      <c r="CB15" s="299"/>
      <c r="CC15" s="298">
        <v>2024</v>
      </c>
      <c r="CD15" s="93"/>
      <c r="CE15" s="93"/>
      <c r="CF15" s="93"/>
      <c r="CG15" s="299"/>
    </row>
    <row r="16" spans="1:87" s="95" customFormat="1" ht="20.9" customHeight="1">
      <c r="A16" s="528"/>
      <c r="B16" s="307" t="s">
        <v>120</v>
      </c>
      <c r="C16" s="300" t="s">
        <v>70</v>
      </c>
      <c r="D16" s="100" t="s">
        <v>71</v>
      </c>
      <c r="E16" s="100" t="s">
        <v>72</v>
      </c>
      <c r="F16" s="100" t="s">
        <v>73</v>
      </c>
      <c r="G16" s="102" t="s">
        <v>120</v>
      </c>
      <c r="H16" s="300" t="s">
        <v>70</v>
      </c>
      <c r="I16" s="100" t="s">
        <v>71</v>
      </c>
      <c r="J16" s="100" t="s">
        <v>72</v>
      </c>
      <c r="K16" s="100" t="s">
        <v>73</v>
      </c>
      <c r="L16" s="101" t="s">
        <v>120</v>
      </c>
      <c r="M16" s="304" t="s">
        <v>150</v>
      </c>
      <c r="N16" s="300" t="s">
        <v>70</v>
      </c>
      <c r="O16" s="100" t="s">
        <v>71</v>
      </c>
      <c r="P16" s="100" t="s">
        <v>72</v>
      </c>
      <c r="Q16" s="100" t="s">
        <v>73</v>
      </c>
      <c r="R16" s="102" t="s">
        <v>120</v>
      </c>
      <c r="S16" s="300" t="s">
        <v>79</v>
      </c>
      <c r="T16" s="100" t="s">
        <v>80</v>
      </c>
      <c r="U16" s="100" t="s">
        <v>81</v>
      </c>
      <c r="V16" s="100" t="s">
        <v>76</v>
      </c>
      <c r="W16" s="102" t="s">
        <v>150</v>
      </c>
      <c r="X16" s="300" t="s">
        <v>70</v>
      </c>
      <c r="Y16" s="100" t="s">
        <v>71</v>
      </c>
      <c r="Z16" s="100" t="s">
        <v>111</v>
      </c>
      <c r="AA16" s="100" t="s">
        <v>72</v>
      </c>
      <c r="AB16" s="100" t="s">
        <v>73</v>
      </c>
      <c r="AC16" s="313" t="s">
        <v>120</v>
      </c>
      <c r="AD16" s="300" t="s">
        <v>70</v>
      </c>
      <c r="AE16" s="100" t="s">
        <v>71</v>
      </c>
      <c r="AF16" s="100" t="s">
        <v>111</v>
      </c>
      <c r="AG16" s="100" t="s">
        <v>72</v>
      </c>
      <c r="AH16" s="100" t="s">
        <v>73</v>
      </c>
      <c r="AI16" s="313" t="s">
        <v>120</v>
      </c>
      <c r="AJ16" s="300" t="s">
        <v>70</v>
      </c>
      <c r="AK16" s="100" t="s">
        <v>111</v>
      </c>
      <c r="AL16" s="100" t="s">
        <v>72</v>
      </c>
      <c r="AM16" s="100" t="s">
        <v>73</v>
      </c>
      <c r="AN16" s="102" t="s">
        <v>120</v>
      </c>
      <c r="AO16" s="300" t="s">
        <v>70</v>
      </c>
      <c r="AP16" s="100" t="s">
        <v>111</v>
      </c>
      <c r="AQ16" s="100" t="s">
        <v>72</v>
      </c>
      <c r="AR16" s="100" t="s">
        <v>73</v>
      </c>
      <c r="AS16" s="102" t="s">
        <v>120</v>
      </c>
      <c r="AT16" s="300" t="s">
        <v>70</v>
      </c>
      <c r="AU16" s="100" t="s">
        <v>111</v>
      </c>
      <c r="AV16" s="100" t="s">
        <v>72</v>
      </c>
      <c r="AW16" s="100" t="s">
        <v>73</v>
      </c>
      <c r="AX16" s="102" t="s">
        <v>120</v>
      </c>
      <c r="AY16" s="300" t="s">
        <v>70</v>
      </c>
      <c r="AZ16" s="100" t="s">
        <v>111</v>
      </c>
      <c r="BA16" s="100" t="s">
        <v>72</v>
      </c>
      <c r="BB16" s="100" t="s">
        <v>73</v>
      </c>
      <c r="BC16" s="102" t="s">
        <v>120</v>
      </c>
      <c r="BD16" s="300" t="s">
        <v>70</v>
      </c>
      <c r="BE16" s="100" t="s">
        <v>111</v>
      </c>
      <c r="BF16" s="100" t="s">
        <v>72</v>
      </c>
      <c r="BG16" s="100" t="s">
        <v>73</v>
      </c>
      <c r="BH16" s="102" t="s">
        <v>120</v>
      </c>
      <c r="BI16" s="300" t="s">
        <v>70</v>
      </c>
      <c r="BJ16" s="100" t="s">
        <v>111</v>
      </c>
      <c r="BK16" s="100" t="s">
        <v>72</v>
      </c>
      <c r="BL16" s="100" t="s">
        <v>73</v>
      </c>
      <c r="BM16" s="102" t="s">
        <v>120</v>
      </c>
      <c r="BN16" s="407" t="s">
        <v>70</v>
      </c>
      <c r="BO16" s="408" t="s">
        <v>111</v>
      </c>
      <c r="BP16" s="100" t="s">
        <v>72</v>
      </c>
      <c r="BQ16" s="100" t="s">
        <v>73</v>
      </c>
      <c r="BR16" s="102" t="s">
        <v>120</v>
      </c>
      <c r="BS16" s="300" t="s">
        <v>70</v>
      </c>
      <c r="BT16" s="100" t="s">
        <v>111</v>
      </c>
      <c r="BU16" s="100" t="s">
        <v>72</v>
      </c>
      <c r="BV16" s="100" t="s">
        <v>73</v>
      </c>
      <c r="BW16" s="102" t="s">
        <v>120</v>
      </c>
      <c r="BX16" s="300" t="s">
        <v>70</v>
      </c>
      <c r="BY16" s="100" t="s">
        <v>111</v>
      </c>
      <c r="BZ16" s="100" t="s">
        <v>72</v>
      </c>
      <c r="CA16" s="100" t="s">
        <v>73</v>
      </c>
      <c r="CB16" s="102" t="s">
        <v>120</v>
      </c>
      <c r="CC16" s="300" t="s">
        <v>70</v>
      </c>
      <c r="CD16" s="100" t="s">
        <v>111</v>
      </c>
      <c r="CE16" s="100" t="s">
        <v>72</v>
      </c>
      <c r="CF16" s="100" t="s">
        <v>73</v>
      </c>
      <c r="CG16" s="102" t="s">
        <v>120</v>
      </c>
    </row>
    <row r="17" spans="1:87" s="90" customFormat="1">
      <c r="A17" s="404" t="s">
        <v>42</v>
      </c>
      <c r="B17" s="72">
        <f>'Annual Segmental Analysis'!C17</f>
        <v>2927.8</v>
      </c>
      <c r="C17" s="214">
        <v>624.20000000000005</v>
      </c>
      <c r="D17" s="71">
        <v>789.8</v>
      </c>
      <c r="E17" s="71">
        <v>787.9</v>
      </c>
      <c r="F17" s="71">
        <v>632.70000000000005</v>
      </c>
      <c r="G17" s="301">
        <f>SUM(C17:F17)</f>
        <v>2834.6000000000004</v>
      </c>
      <c r="H17" s="308">
        <v>621.5</v>
      </c>
      <c r="I17" s="72">
        <v>800.1</v>
      </c>
      <c r="J17" s="72">
        <v>780.9</v>
      </c>
      <c r="K17" s="72">
        <v>604.5</v>
      </c>
      <c r="L17" s="73">
        <f>SUM(H17:K17)</f>
        <v>2807</v>
      </c>
      <c r="M17" s="309">
        <v>2834.8</v>
      </c>
      <c r="N17" s="214">
        <v>614.20000000000005</v>
      </c>
      <c r="O17" s="71">
        <v>735</v>
      </c>
      <c r="P17" s="71">
        <v>748.1</v>
      </c>
      <c r="Q17" s="71">
        <v>575.79999999999973</v>
      </c>
      <c r="R17" s="301">
        <v>2673.1</v>
      </c>
      <c r="S17" s="214">
        <v>620.20000000000005</v>
      </c>
      <c r="T17" s="71">
        <v>743.9</v>
      </c>
      <c r="U17" s="71">
        <f>W17-T17-S17-V17</f>
        <v>755.99999999999955</v>
      </c>
      <c r="V17" s="71">
        <v>581.70000000000005</v>
      </c>
      <c r="W17" s="301">
        <v>2701.7999999999997</v>
      </c>
      <c r="X17" s="308">
        <v>570.5</v>
      </c>
      <c r="Y17" s="72">
        <v>697.2</v>
      </c>
      <c r="Z17" s="72">
        <f>X17+Y17</f>
        <v>1267.7</v>
      </c>
      <c r="AA17" s="72">
        <v>717.3</v>
      </c>
      <c r="AB17" s="72">
        <v>554.6</v>
      </c>
      <c r="AC17" s="301">
        <v>2539.6</v>
      </c>
      <c r="AD17" s="308">
        <v>527.9</v>
      </c>
      <c r="AE17" s="72">
        <v>700.1</v>
      </c>
      <c r="AF17" s="72">
        <v>1228</v>
      </c>
      <c r="AG17" s="72">
        <v>660.4</v>
      </c>
      <c r="AH17" s="72">
        <v>560.5</v>
      </c>
      <c r="AI17" s="301">
        <v>2448.9</v>
      </c>
      <c r="AJ17" s="214">
        <v>554.6</v>
      </c>
      <c r="AK17" s="71">
        <v>1237</v>
      </c>
      <c r="AL17" s="71">
        <v>702.5</v>
      </c>
      <c r="AM17" s="71">
        <v>546.1</v>
      </c>
      <c r="AN17" s="301">
        <v>2485.6474926900005</v>
      </c>
      <c r="AO17" s="214">
        <v>534.5</v>
      </c>
      <c r="AP17" s="71">
        <v>1192.5999999999999</v>
      </c>
      <c r="AQ17" s="71">
        <v>677.3</v>
      </c>
      <c r="AR17" s="71">
        <v>537.9</v>
      </c>
      <c r="AS17" s="301">
        <v>2407.7695663300001</v>
      </c>
      <c r="AT17" s="214">
        <v>521.20000000000005</v>
      </c>
      <c r="AU17" s="71">
        <v>1202.0999999999999</v>
      </c>
      <c r="AV17" s="71">
        <v>693.9</v>
      </c>
      <c r="AW17" s="71">
        <v>540.29999999999995</v>
      </c>
      <c r="AX17" s="301">
        <v>2436.3000000000002</v>
      </c>
      <c r="AY17" s="214">
        <v>521.70000000000005</v>
      </c>
      <c r="AZ17" s="71">
        <v>1207.4000000000001</v>
      </c>
      <c r="BA17" s="71">
        <v>689.2</v>
      </c>
      <c r="BB17" s="71">
        <v>573.5</v>
      </c>
      <c r="BC17" s="301">
        <v>2470.1</v>
      </c>
      <c r="BD17" s="214">
        <v>532.5</v>
      </c>
      <c r="BE17" s="71">
        <v>1237.7</v>
      </c>
      <c r="BF17" s="71">
        <v>703.7</v>
      </c>
      <c r="BG17" s="71">
        <v>576.20000000000005</v>
      </c>
      <c r="BH17" s="301">
        <v>2517.6</v>
      </c>
      <c r="BI17" s="214">
        <v>499.5</v>
      </c>
      <c r="BJ17" s="71">
        <v>985.9</v>
      </c>
      <c r="BK17" s="71">
        <v>667.7</v>
      </c>
      <c r="BL17" s="71">
        <v>521</v>
      </c>
      <c r="BM17" s="301">
        <v>2174.6</v>
      </c>
      <c r="BN17" s="409">
        <v>481.1</v>
      </c>
      <c r="BO17" s="410">
        <v>1149.8</v>
      </c>
      <c r="BP17" s="71">
        <v>734.8</v>
      </c>
      <c r="BQ17" s="71">
        <v>594.4</v>
      </c>
      <c r="BR17" s="301">
        <v>2479</v>
      </c>
      <c r="BS17" s="214">
        <v>575.1</v>
      </c>
      <c r="BT17" s="71">
        <v>1384.2</v>
      </c>
      <c r="BU17" s="71">
        <v>888.7</v>
      </c>
      <c r="BV17" s="71">
        <v>701.2</v>
      </c>
      <c r="BW17" s="301">
        <v>2974.1</v>
      </c>
      <c r="BX17" s="214">
        <v>696.6</v>
      </c>
      <c r="BY17" s="71">
        <v>1628</v>
      </c>
      <c r="BZ17" s="71">
        <v>959.5</v>
      </c>
      <c r="CA17" s="71">
        <f>CB17-BZ17-BY17</f>
        <v>771</v>
      </c>
      <c r="CB17" s="301">
        <v>3358.5</v>
      </c>
      <c r="CC17" s="214">
        <v>742.6</v>
      </c>
      <c r="CD17" s="71">
        <v>1715.1</v>
      </c>
      <c r="CE17" s="71">
        <v>998.9</v>
      </c>
      <c r="CF17" s="71"/>
      <c r="CG17" s="301"/>
    </row>
    <row r="18" spans="1:87">
      <c r="A18" s="295" t="s">
        <v>141</v>
      </c>
      <c r="B18" s="288"/>
      <c r="C18" s="302">
        <f>+C17/653.6-1</f>
        <v>-4.4981640146878776E-2</v>
      </c>
      <c r="D18" s="288">
        <f>+D17/825.5-1</f>
        <v>-4.324651726226536E-2</v>
      </c>
      <c r="E18" s="288">
        <f>+E17/814.5-1</f>
        <v>-3.2658072437077967E-2</v>
      </c>
      <c r="F18" s="288">
        <f>+F17/634.2-1</f>
        <v>-2.3651844843898262E-3</v>
      </c>
      <c r="G18" s="289">
        <f>G17/B17-1</f>
        <v>-3.1832775462804719E-2</v>
      </c>
      <c r="H18" s="302">
        <f>+H17/C17-1</f>
        <v>-4.3255366869593415E-3</v>
      </c>
      <c r="I18" s="288">
        <f>+I17/D17-1</f>
        <v>1.3041276272474089E-2</v>
      </c>
      <c r="J18" s="288">
        <f>+J17/E17-1</f>
        <v>-8.8843761898718121E-3</v>
      </c>
      <c r="K18" s="288">
        <f>+K17/F17-1</f>
        <v>-4.4570886676149946E-2</v>
      </c>
      <c r="L18" s="286">
        <f>L17/G17-1</f>
        <v>-9.7368235377126577E-3</v>
      </c>
      <c r="M18" s="305">
        <f>M17/G17-1</f>
        <v>7.0556692302270463E-5</v>
      </c>
      <c r="N18" s="302">
        <f>+N17/H17-1</f>
        <v>-1.1745776347546144E-2</v>
      </c>
      <c r="O18" s="288">
        <f>+O17/I17-1</f>
        <v>-8.13648293963255E-2</v>
      </c>
      <c r="P18" s="288">
        <f>+P17/J17-1</f>
        <v>-4.2002817262133396E-2</v>
      </c>
      <c r="Q18" s="288">
        <f>+Q17/K17-1</f>
        <v>-4.7477253928867258E-2</v>
      </c>
      <c r="R18" s="289">
        <f>+R17/L17-1</f>
        <v>-4.770217313858216E-2</v>
      </c>
      <c r="S18" s="302" t="s">
        <v>61</v>
      </c>
      <c r="T18" s="288" t="s">
        <v>61</v>
      </c>
      <c r="U18" s="288" t="s">
        <v>61</v>
      </c>
      <c r="V18" s="288">
        <f>V17/AM17-1</f>
        <v>6.518952572788872E-2</v>
      </c>
      <c r="W18" s="289">
        <f>W17/M17-1</f>
        <v>-4.6916890080429097E-2</v>
      </c>
      <c r="X18" s="302">
        <f>X17/S17-1</f>
        <v>-8.0135440180586937E-2</v>
      </c>
      <c r="Y18" s="288">
        <f>Y17/T17-1</f>
        <v>-6.2777255007393395E-2</v>
      </c>
      <c r="Z18" s="288"/>
      <c r="AA18" s="288">
        <f>AA17/U17-1</f>
        <v>-5.1190476190475676E-2</v>
      </c>
      <c r="AB18" s="288">
        <f>AB17/V17-1</f>
        <v>-4.6587588103833677E-2</v>
      </c>
      <c r="AC18" s="289">
        <f>AC17/W17-1</f>
        <v>-6.0034051373158537E-2</v>
      </c>
      <c r="AD18" s="302">
        <f>AD17/X17-1</f>
        <v>-7.4671340929009733E-2</v>
      </c>
      <c r="AE18" s="288">
        <f>AE17/Y17-1</f>
        <v>4.159495123350565E-3</v>
      </c>
      <c r="AF18" s="288">
        <f>AF17/(X17+Y17)-1</f>
        <v>-3.1316557545160606E-2</v>
      </c>
      <c r="AG18" s="288">
        <f>AG17/AA17-1</f>
        <v>-7.9325247455736769E-2</v>
      </c>
      <c r="AH18" s="288">
        <f>AH17/AB17-1</f>
        <v>1.0638297872340274E-2</v>
      </c>
      <c r="AI18" s="289">
        <f>AI17/AC17-1</f>
        <v>-3.5714285714285698E-2</v>
      </c>
      <c r="AJ18" s="302">
        <f>AJ17/AD17-1</f>
        <v>5.0577760939571892E-2</v>
      </c>
      <c r="AK18" s="288">
        <f>AK17/(AD17+AE17)-1</f>
        <v>7.3289902280129215E-3</v>
      </c>
      <c r="AL18" s="288">
        <f t="shared" ref="AL18:AQ18" si="13">AL17/AG17-1</f>
        <v>6.3749242883101243E-2</v>
      </c>
      <c r="AM18" s="288">
        <f t="shared" si="13"/>
        <v>-2.5691347011596699E-2</v>
      </c>
      <c r="AN18" s="289">
        <f t="shared" si="13"/>
        <v>1.5005713867450865E-2</v>
      </c>
      <c r="AO18" s="302">
        <f t="shared" si="13"/>
        <v>-3.6242336819329313E-2</v>
      </c>
      <c r="AP18" s="288">
        <f t="shared" si="13"/>
        <v>-3.5893290218270035E-2</v>
      </c>
      <c r="AQ18" s="288">
        <f t="shared" si="13"/>
        <v>-3.5871886120996455E-2</v>
      </c>
      <c r="AR18" s="288">
        <f>AR17/AM17-1</f>
        <v>-1.5015564914850787E-2</v>
      </c>
      <c r="AS18" s="289">
        <f>AS17/AN17-1</f>
        <v>-3.1331042148587174E-2</v>
      </c>
      <c r="AT18" s="302">
        <f>AT17/AO17-1</f>
        <v>-2.4883068288119703E-2</v>
      </c>
      <c r="AU18" s="288">
        <f>AU17/AP17-1</f>
        <v>7.9657890323663327E-3</v>
      </c>
      <c r="AV18" s="288">
        <v>2.5000000000000001E-2</v>
      </c>
      <c r="AW18" s="288">
        <f t="shared" ref="AW18:BD18" si="14">AW17/AR17-1</f>
        <v>4.4617958728387919E-3</v>
      </c>
      <c r="AX18" s="289">
        <f t="shared" si="14"/>
        <v>1.1849320661315277E-2</v>
      </c>
      <c r="AY18" s="302">
        <f t="shared" si="14"/>
        <v>9.593246354566709E-4</v>
      </c>
      <c r="AZ18" s="288">
        <f t="shared" si="14"/>
        <v>4.4089510024125644E-3</v>
      </c>
      <c r="BA18" s="288">
        <f t="shared" si="14"/>
        <v>-6.7733102752557395E-3</v>
      </c>
      <c r="BB18" s="288">
        <f t="shared" si="14"/>
        <v>6.1447344068110477E-2</v>
      </c>
      <c r="BC18" s="289">
        <f t="shared" si="14"/>
        <v>1.3873496695809173E-2</v>
      </c>
      <c r="BD18" s="302">
        <f t="shared" si="14"/>
        <v>2.0701552616446239E-2</v>
      </c>
      <c r="BE18" s="288">
        <f>BE17/AZ17-1</f>
        <v>2.5095245983104197E-2</v>
      </c>
      <c r="BF18" s="288">
        <f>BF17/BA17-1</f>
        <v>2.1038885664538487E-2</v>
      </c>
      <c r="BG18" s="288">
        <f>BG17/BB17-1</f>
        <v>4.7079337401918497E-3</v>
      </c>
      <c r="BH18" s="289">
        <f>BH17/BC17-1</f>
        <v>1.9229990688636178E-2</v>
      </c>
      <c r="BI18" s="302">
        <v>-6.2E-2</v>
      </c>
      <c r="BJ18" s="288">
        <v>-0.20344186798093244</v>
      </c>
      <c r="BK18" s="288">
        <f>BK17/BF17-1</f>
        <v>-5.1158163990336791E-2</v>
      </c>
      <c r="BL18" s="288">
        <f>BL17/BG17-1</f>
        <v>-9.580006942034025E-2</v>
      </c>
      <c r="BM18" s="289">
        <f>BM17/BH17-1</f>
        <v>-0.13624086431522087</v>
      </c>
      <c r="BN18" s="411">
        <v>-3.6999999999999998E-2</v>
      </c>
      <c r="BO18" s="412">
        <v>0.16600000000000001</v>
      </c>
      <c r="BP18" s="288">
        <f>BP17/BK17-1</f>
        <v>0.10049423393739687</v>
      </c>
      <c r="BQ18" s="288">
        <f>BQ17/BL17-1</f>
        <v>0.1408829174664108</v>
      </c>
      <c r="BR18" s="289">
        <f>BR17/BM17-1</f>
        <v>0.13997976639381959</v>
      </c>
      <c r="BS18" s="302">
        <v>0.19500000000000001</v>
      </c>
      <c r="BT18" s="288">
        <f>BT17/BO17-1</f>
        <v>0.20386154113758925</v>
      </c>
      <c r="BU18" s="288">
        <v>0.2094447468698967</v>
      </c>
      <c r="BV18" s="288">
        <v>0.1796769851951549</v>
      </c>
      <c r="BW18" s="289">
        <f>BW17/BR17-1</f>
        <v>0.19971762807583704</v>
      </c>
      <c r="BX18" s="302">
        <v>0.21126760563380281</v>
      </c>
      <c r="BY18" s="288">
        <v>0.17599999999999999</v>
      </c>
      <c r="BZ18" s="288">
        <f>BZ17/BU17-1</f>
        <v>7.9666929222459659E-2</v>
      </c>
      <c r="CA18" s="288">
        <f>CA17/BV17-1</f>
        <v>9.9543639475185408E-2</v>
      </c>
      <c r="CB18" s="289">
        <v>0.129</v>
      </c>
      <c r="CC18" s="302">
        <v>6.6000000000000003E-2</v>
      </c>
      <c r="CD18" s="288">
        <v>5.3999999999999999E-2</v>
      </c>
      <c r="CE18" s="288">
        <v>4.1000000000000002E-2</v>
      </c>
      <c r="CF18" s="288"/>
      <c r="CG18" s="289"/>
      <c r="CI18" s="496"/>
    </row>
    <row r="19" spans="1:87" s="90" customFormat="1">
      <c r="A19" s="404" t="s">
        <v>7</v>
      </c>
      <c r="B19" s="72">
        <f>'Annual Segmental Analysis'!C19</f>
        <v>1149.0999999999999</v>
      </c>
      <c r="C19" s="214">
        <v>230.6</v>
      </c>
      <c r="D19" s="71">
        <v>308.5</v>
      </c>
      <c r="E19" s="71">
        <v>349.6</v>
      </c>
      <c r="F19" s="71">
        <v>251.3</v>
      </c>
      <c r="G19" s="301">
        <f>SUM(C19:F19)</f>
        <v>1140</v>
      </c>
      <c r="H19" s="308">
        <v>234.9</v>
      </c>
      <c r="I19" s="72">
        <v>347.9</v>
      </c>
      <c r="J19" s="72">
        <v>334.8</v>
      </c>
      <c r="K19" s="72">
        <v>243.9</v>
      </c>
      <c r="L19" s="73">
        <f>SUM(H19:K19)</f>
        <v>1161.5</v>
      </c>
      <c r="M19" s="309">
        <v>1161.5</v>
      </c>
      <c r="N19" s="214">
        <v>229.2</v>
      </c>
      <c r="O19" s="71">
        <v>319.7</v>
      </c>
      <c r="P19" s="71">
        <v>341.7</v>
      </c>
      <c r="Q19" s="71">
        <v>257.5</v>
      </c>
      <c r="R19" s="301">
        <v>1148.0999999999999</v>
      </c>
      <c r="S19" s="214">
        <v>229.2</v>
      </c>
      <c r="T19" s="71">
        <v>319.7</v>
      </c>
      <c r="U19" s="71">
        <f>W19-T19-S19-V19</f>
        <v>341.69999999999982</v>
      </c>
      <c r="V19" s="71">
        <v>257.5</v>
      </c>
      <c r="W19" s="301">
        <v>1148.0999999999999</v>
      </c>
      <c r="X19" s="308">
        <v>217.2</v>
      </c>
      <c r="Y19" s="72">
        <v>308.5</v>
      </c>
      <c r="Z19" s="72">
        <f>X19+Y19</f>
        <v>525.70000000000005</v>
      </c>
      <c r="AA19" s="72">
        <v>333.2</v>
      </c>
      <c r="AB19" s="72">
        <v>246.7</v>
      </c>
      <c r="AC19" s="301">
        <v>1105.5999999999999</v>
      </c>
      <c r="AD19" s="308">
        <v>205.2</v>
      </c>
      <c r="AE19" s="72">
        <v>299.5</v>
      </c>
      <c r="AF19" s="72">
        <v>504.7</v>
      </c>
      <c r="AG19" s="72">
        <v>303.2</v>
      </c>
      <c r="AH19" s="72">
        <v>246.2</v>
      </c>
      <c r="AI19" s="301">
        <v>1054.0999999999999</v>
      </c>
      <c r="AJ19" s="214">
        <v>228.5</v>
      </c>
      <c r="AK19" s="71">
        <v>528.6</v>
      </c>
      <c r="AL19" s="71">
        <v>323.8</v>
      </c>
      <c r="AM19" s="71">
        <f>+AN19-AK19-AL19</f>
        <v>239.59999999999997</v>
      </c>
      <c r="AN19" s="301">
        <v>1092</v>
      </c>
      <c r="AO19" s="214">
        <v>224.1</v>
      </c>
      <c r="AP19" s="71">
        <v>526.79999999999995</v>
      </c>
      <c r="AQ19" s="71">
        <v>316.3</v>
      </c>
      <c r="AR19" s="71">
        <f>+AS19-AP19-AQ19</f>
        <v>251.10000000000008</v>
      </c>
      <c r="AS19" s="301">
        <v>1094.2</v>
      </c>
      <c r="AT19" s="214">
        <v>226.6</v>
      </c>
      <c r="AU19" s="71">
        <v>557.4</v>
      </c>
      <c r="AV19" s="71">
        <v>345.1</v>
      </c>
      <c r="AW19" s="71">
        <v>270.89999999999998</v>
      </c>
      <c r="AX19" s="301">
        <v>1173.4000000000001</v>
      </c>
      <c r="AY19" s="214">
        <v>255.2</v>
      </c>
      <c r="AZ19" s="71">
        <v>616</v>
      </c>
      <c r="BA19" s="71">
        <v>387.8</v>
      </c>
      <c r="BB19" s="71">
        <v>303.10000000000002</v>
      </c>
      <c r="BC19" s="301">
        <v>1306.9000000000001</v>
      </c>
      <c r="BD19" s="214">
        <v>267.2</v>
      </c>
      <c r="BE19" s="71">
        <v>641.70000000000005</v>
      </c>
      <c r="BF19" s="71">
        <v>388.3</v>
      </c>
      <c r="BG19" s="71">
        <v>322.10000000000002</v>
      </c>
      <c r="BH19" s="301">
        <v>1352.1</v>
      </c>
      <c r="BI19" s="214">
        <v>255.4</v>
      </c>
      <c r="BJ19" s="71">
        <v>520.20000000000005</v>
      </c>
      <c r="BK19" s="71">
        <v>375.7</v>
      </c>
      <c r="BL19" s="71">
        <v>275</v>
      </c>
      <c r="BM19" s="301">
        <v>1170.9000000000001</v>
      </c>
      <c r="BN19" s="409">
        <v>236.7</v>
      </c>
      <c r="BO19" s="410">
        <v>601.6</v>
      </c>
      <c r="BP19" s="71">
        <v>416.9</v>
      </c>
      <c r="BQ19" s="71">
        <v>347.1</v>
      </c>
      <c r="BR19" s="301">
        <v>1365.6</v>
      </c>
      <c r="BS19" s="214">
        <v>331.9</v>
      </c>
      <c r="BT19" s="71">
        <v>791.6</v>
      </c>
      <c r="BU19" s="71">
        <v>494.9</v>
      </c>
      <c r="BV19" s="71">
        <v>433.2</v>
      </c>
      <c r="BW19" s="301">
        <v>1719.7</v>
      </c>
      <c r="BX19" s="214">
        <v>412.2</v>
      </c>
      <c r="BY19" s="71">
        <v>985.2</v>
      </c>
      <c r="BZ19" s="71">
        <v>593.4</v>
      </c>
      <c r="CA19" s="71">
        <f>CB19-BZ19-BY19</f>
        <v>509.99999999999977</v>
      </c>
      <c r="CB19" s="301">
        <v>2088.6</v>
      </c>
      <c r="CC19" s="214">
        <v>480.1</v>
      </c>
      <c r="CD19" s="71">
        <v>1123.3</v>
      </c>
      <c r="CE19" s="71">
        <v>676.6</v>
      </c>
      <c r="CF19" s="71"/>
      <c r="CG19" s="301"/>
    </row>
    <row r="20" spans="1:87">
      <c r="A20" s="295" t="s">
        <v>141</v>
      </c>
      <c r="B20" s="288"/>
      <c r="C20" s="302">
        <f>+C19/225.3-1</f>
        <v>2.3524189968930243E-2</v>
      </c>
      <c r="D20" s="288">
        <f>+D19/325.3-1</f>
        <v>-5.1644635720873078E-2</v>
      </c>
      <c r="E20" s="288">
        <f>+E19/360.6-1</f>
        <v>-3.0504714364947283E-2</v>
      </c>
      <c r="F20" s="288">
        <f>+F19/237.9-1</f>
        <v>5.6326187473728417E-2</v>
      </c>
      <c r="G20" s="289">
        <f>G19/B19-1</f>
        <v>-7.9192411452440048E-3</v>
      </c>
      <c r="H20" s="302">
        <f>+H19/C19-1</f>
        <v>1.8647007805724147E-2</v>
      </c>
      <c r="I20" s="288">
        <f>+I19/D19-1</f>
        <v>0.12771474878444078</v>
      </c>
      <c r="J20" s="288">
        <f>+J19/E19-1</f>
        <v>-4.2334096109839847E-2</v>
      </c>
      <c r="K20" s="288">
        <f>+K19/F19-1</f>
        <v>-2.9446876243533593E-2</v>
      </c>
      <c r="L20" s="286">
        <f>L19/G19-1</f>
        <v>1.8859649122807021E-2</v>
      </c>
      <c r="M20" s="305">
        <f>M19/G19-1</f>
        <v>1.8859649122807021E-2</v>
      </c>
      <c r="N20" s="302">
        <f>+N19/H19-1</f>
        <v>-2.4265644955300147E-2</v>
      </c>
      <c r="O20" s="288">
        <f>+O19/I19-1</f>
        <v>-8.1057775222765138E-2</v>
      </c>
      <c r="P20" s="288">
        <f>+P19/J19-1</f>
        <v>2.0609318996415604E-2</v>
      </c>
      <c r="Q20" s="288">
        <f>+Q19/K19-1</f>
        <v>5.5760557605575967E-2</v>
      </c>
      <c r="R20" s="289">
        <f>+R19/L19-1</f>
        <v>-1.1536805854498566E-2</v>
      </c>
      <c r="S20" s="302" t="s">
        <v>61</v>
      </c>
      <c r="T20" s="288" t="s">
        <v>61</v>
      </c>
      <c r="U20" s="288" t="s">
        <v>61</v>
      </c>
      <c r="V20" s="288">
        <f>V19/AM19-1</f>
        <v>7.4707846410684731E-2</v>
      </c>
      <c r="W20" s="289">
        <f>W19/M19-1</f>
        <v>-1.1536805854498566E-2</v>
      </c>
      <c r="X20" s="302">
        <f>X19/S19-1</f>
        <v>-5.2356020942408432E-2</v>
      </c>
      <c r="Y20" s="288">
        <f>Y19/T19-1</f>
        <v>-3.503284329058487E-2</v>
      </c>
      <c r="Z20" s="288"/>
      <c r="AA20" s="288">
        <f>AA19/U19-1</f>
        <v>-2.4875621890546817E-2</v>
      </c>
      <c r="AB20" s="288">
        <f>AB19/V19-1</f>
        <v>-4.1941747572815546E-2</v>
      </c>
      <c r="AC20" s="289">
        <f>AC19/W19-1</f>
        <v>-3.7017681386638746E-2</v>
      </c>
      <c r="AD20" s="302">
        <f>AD19/X19-1</f>
        <v>-5.5248618784530357E-2</v>
      </c>
      <c r="AE20" s="288">
        <f>AE19/Y19-1</f>
        <v>-2.9173419773095621E-2</v>
      </c>
      <c r="AF20" s="288">
        <f>AF19/(X19+Y19)-1</f>
        <v>-3.9946737683089317E-2</v>
      </c>
      <c r="AG20" s="288">
        <f>AG19/AA19-1</f>
        <v>-9.0036014405762255E-2</v>
      </c>
      <c r="AH20" s="288">
        <f>AH19/AB19-1</f>
        <v>-2.0267531414673856E-3</v>
      </c>
      <c r="AI20" s="289">
        <f>AI19/AC19-1</f>
        <v>-4.658104196816204E-2</v>
      </c>
      <c r="AJ20" s="302">
        <f>AJ19/AD19-1</f>
        <v>0.11354775828460051</v>
      </c>
      <c r="AK20" s="288">
        <f>AK19/(AD19+AE19)-1</f>
        <v>4.7354864275807484E-2</v>
      </c>
      <c r="AL20" s="288">
        <f t="shared" ref="AL20:AQ20" si="15">AL19/AG19-1</f>
        <v>6.7941952506596293E-2</v>
      </c>
      <c r="AM20" s="288">
        <f t="shared" si="15"/>
        <v>-2.6807473598700282E-2</v>
      </c>
      <c r="AN20" s="289">
        <f t="shared" si="15"/>
        <v>3.5954842994023517E-2</v>
      </c>
      <c r="AO20" s="302">
        <f t="shared" si="15"/>
        <v>-1.9256017505470457E-2</v>
      </c>
      <c r="AP20" s="288">
        <f t="shared" si="15"/>
        <v>-3.4052213393871433E-3</v>
      </c>
      <c r="AQ20" s="288">
        <f t="shared" si="15"/>
        <v>-2.3162445954292732E-2</v>
      </c>
      <c r="AR20" s="288">
        <f t="shared" ref="AR20:AY20" si="16">AR19/AM19-1</f>
        <v>4.7996661101836979E-2</v>
      </c>
      <c r="AS20" s="289">
        <f t="shared" si="16"/>
        <v>2.0146520146520075E-3</v>
      </c>
      <c r="AT20" s="302">
        <f t="shared" si="16"/>
        <v>1.1155734047300303E-2</v>
      </c>
      <c r="AU20" s="288">
        <f t="shared" si="16"/>
        <v>5.808656036446469E-2</v>
      </c>
      <c r="AV20" s="288">
        <f t="shared" si="16"/>
        <v>9.1052797976604483E-2</v>
      </c>
      <c r="AW20" s="288">
        <f t="shared" si="16"/>
        <v>7.8853046594981713E-2</v>
      </c>
      <c r="AX20" s="289">
        <f t="shared" si="16"/>
        <v>7.2381648693109257E-2</v>
      </c>
      <c r="AY20" s="302">
        <f t="shared" si="16"/>
        <v>0.12621359223300965</v>
      </c>
      <c r="AZ20" s="288">
        <f>AZ19/AU19-1</f>
        <v>0.10513096519555076</v>
      </c>
      <c r="BA20" s="288">
        <f>BA19/AV19-1</f>
        <v>0.12373225152129819</v>
      </c>
      <c r="BB20" s="288">
        <f>BB19/AW19-1</f>
        <v>0.11886304909560752</v>
      </c>
      <c r="BC20" s="289">
        <f>BC19/AX19-1</f>
        <v>0.11377194477586494</v>
      </c>
      <c r="BD20" s="302">
        <f t="shared" ref="BD20" si="17">BD19/AY19-1</f>
        <v>4.7021943573667624E-2</v>
      </c>
      <c r="BE20" s="288">
        <f>BE19/AZ19-1</f>
        <v>4.1720779220779214E-2</v>
      </c>
      <c r="BF20" s="288">
        <f>BF19/BA19-1</f>
        <v>1.2893243940175214E-3</v>
      </c>
      <c r="BG20" s="288">
        <f>BG19/BB19-1</f>
        <v>6.2685582316067245E-2</v>
      </c>
      <c r="BH20" s="289">
        <f>BH19/BC19-1</f>
        <v>3.4585660723850165E-2</v>
      </c>
      <c r="BI20" s="302">
        <v>-4.3999999999999997E-2</v>
      </c>
      <c r="BJ20" s="288">
        <v>-0.18934081346423559</v>
      </c>
      <c r="BK20" s="288">
        <f>BK19/BF19-1</f>
        <v>-3.2449137265001315E-2</v>
      </c>
      <c r="BL20" s="288">
        <f>BL19/BG19-1</f>
        <v>-0.14622787954051542</v>
      </c>
      <c r="BM20" s="289">
        <f>BM19/BH19-1</f>
        <v>-0.13401375637896595</v>
      </c>
      <c r="BN20" s="411">
        <v>-7.2999999999999995E-2</v>
      </c>
      <c r="BO20" s="412">
        <v>0.156</v>
      </c>
      <c r="BP20" s="288">
        <f>BP19/BK19-1</f>
        <v>0.1096619643332446</v>
      </c>
      <c r="BQ20" s="288">
        <f>BQ19/BL19-1</f>
        <v>0.26218181818181829</v>
      </c>
      <c r="BR20" s="289">
        <f>BR19/BM19-1</f>
        <v>0.16628234691263111</v>
      </c>
      <c r="BS20" s="302">
        <v>0.40200000000000002</v>
      </c>
      <c r="BT20" s="288">
        <f>BT19/BO19-1</f>
        <v>0.31582446808510634</v>
      </c>
      <c r="BU20" s="288">
        <v>0.18709522667306311</v>
      </c>
      <c r="BV20" s="288">
        <v>0.2480553154710457</v>
      </c>
      <c r="BW20" s="289">
        <f>BW19/BR19-1</f>
        <v>0.25929994141769197</v>
      </c>
      <c r="BX20" s="302">
        <v>0.24194034347695095</v>
      </c>
      <c r="BY20" s="288">
        <v>0.245</v>
      </c>
      <c r="BZ20" s="288">
        <f>BZ19/BU19-1</f>
        <v>0.19903010709234192</v>
      </c>
      <c r="CA20" s="288">
        <f>CA19/BV19-1</f>
        <v>0.1772853185595562</v>
      </c>
      <c r="CB20" s="289">
        <v>0.215</v>
      </c>
      <c r="CC20" s="302">
        <v>0.16500000000000001</v>
      </c>
      <c r="CD20" s="288">
        <v>0.14000000000000001</v>
      </c>
      <c r="CE20" s="288">
        <v>0.14000000000000001</v>
      </c>
      <c r="CF20" s="288"/>
      <c r="CG20" s="289"/>
      <c r="CI20" s="496"/>
    </row>
    <row r="21" spans="1:87" s="90" customFormat="1">
      <c r="A21" s="404" t="s">
        <v>15</v>
      </c>
      <c r="B21" s="72">
        <f>'Annual Segmental Analysis'!C21</f>
        <v>2466.6999999999998</v>
      </c>
      <c r="C21" s="214">
        <v>522.20000000000005</v>
      </c>
      <c r="D21" s="71">
        <v>824.8</v>
      </c>
      <c r="E21" s="71">
        <v>861.1</v>
      </c>
      <c r="F21" s="71">
        <v>610.9</v>
      </c>
      <c r="G21" s="301">
        <f>SUM(C21:F21)</f>
        <v>2819</v>
      </c>
      <c r="H21" s="308">
        <v>559.70000000000005</v>
      </c>
      <c r="I21" s="72">
        <v>831.6</v>
      </c>
      <c r="J21" s="72">
        <v>814.1</v>
      </c>
      <c r="K21" s="72">
        <v>680.4</v>
      </c>
      <c r="L21" s="73">
        <f>SUM(H21:K21)</f>
        <v>2885.8</v>
      </c>
      <c r="M21" s="309">
        <v>2828</v>
      </c>
      <c r="N21" s="214">
        <v>593.1</v>
      </c>
      <c r="O21" s="71">
        <v>940.9</v>
      </c>
      <c r="P21" s="71">
        <v>946.5</v>
      </c>
      <c r="Q21" s="71">
        <v>776.59999999999991</v>
      </c>
      <c r="R21" s="301">
        <v>3257.1</v>
      </c>
      <c r="S21" s="214">
        <v>584</v>
      </c>
      <c r="T21" s="71">
        <v>922.1</v>
      </c>
      <c r="U21" s="71">
        <f>W21-T21-S21-V21</f>
        <v>923.10000000000025</v>
      </c>
      <c r="V21" s="71">
        <v>765.6</v>
      </c>
      <c r="W21" s="301">
        <v>3194.8</v>
      </c>
      <c r="X21" s="308">
        <v>644.20000000000005</v>
      </c>
      <c r="Y21" s="72">
        <v>943.5</v>
      </c>
      <c r="Z21" s="72">
        <f>X21+Y21</f>
        <v>1587.7</v>
      </c>
      <c r="AA21" s="72">
        <v>867.8</v>
      </c>
      <c r="AB21" s="72">
        <v>773.3</v>
      </c>
      <c r="AC21" s="301">
        <v>3228.8</v>
      </c>
      <c r="AD21" s="308">
        <v>598</v>
      </c>
      <c r="AE21" s="72">
        <v>852.4</v>
      </c>
      <c r="AF21" s="72">
        <v>1450.4</v>
      </c>
      <c r="AG21" s="72">
        <v>853.5</v>
      </c>
      <c r="AH21" s="72">
        <v>703.3</v>
      </c>
      <c r="AI21" s="301">
        <v>3007.2</v>
      </c>
      <c r="AJ21" s="214">
        <v>570.20000000000005</v>
      </c>
      <c r="AK21" s="71">
        <v>1385.3</v>
      </c>
      <c r="AL21" s="71">
        <v>742.4</v>
      </c>
      <c r="AM21" s="71">
        <v>640.79999999999995</v>
      </c>
      <c r="AN21" s="301">
        <v>2768.4812172699994</v>
      </c>
      <c r="AO21" s="214">
        <v>558.4</v>
      </c>
      <c r="AP21" s="71">
        <v>1324.5</v>
      </c>
      <c r="AQ21" s="71">
        <v>741.7</v>
      </c>
      <c r="AR21" s="71">
        <v>650.79999999999995</v>
      </c>
      <c r="AS21" s="301">
        <v>2717.0365042400003</v>
      </c>
      <c r="AT21" s="214">
        <v>628.9</v>
      </c>
      <c r="AU21" s="71">
        <v>1453.9</v>
      </c>
      <c r="AV21" s="71">
        <v>783</v>
      </c>
      <c r="AW21" s="71">
        <v>675.4</v>
      </c>
      <c r="AX21" s="301">
        <v>2912.3</v>
      </c>
      <c r="AY21" s="214">
        <v>576.1</v>
      </c>
      <c r="AZ21" s="71">
        <v>1404.9</v>
      </c>
      <c r="BA21" s="71">
        <v>791.5</v>
      </c>
      <c r="BB21" s="71">
        <v>683.7</v>
      </c>
      <c r="BC21" s="301">
        <v>2880.1</v>
      </c>
      <c r="BD21" s="214">
        <v>612.9</v>
      </c>
      <c r="BE21" s="71">
        <v>1473</v>
      </c>
      <c r="BF21" s="71">
        <v>869.4</v>
      </c>
      <c r="BG21" s="71">
        <v>813.9</v>
      </c>
      <c r="BH21" s="301">
        <v>3156.3</v>
      </c>
      <c r="BI21" s="214">
        <v>653.9</v>
      </c>
      <c r="BJ21" s="71">
        <v>1325.1</v>
      </c>
      <c r="BK21" s="71">
        <v>786</v>
      </c>
      <c r="BL21" s="71">
        <v>675.2</v>
      </c>
      <c r="BM21" s="301">
        <v>2786.3</v>
      </c>
      <c r="BN21" s="409">
        <v>634.29999999999995</v>
      </c>
      <c r="BO21" s="410">
        <v>1496.5</v>
      </c>
      <c r="BP21" s="71">
        <v>972.6</v>
      </c>
      <c r="BQ21" s="71">
        <v>854.7</v>
      </c>
      <c r="BR21" s="301">
        <v>3323.8</v>
      </c>
      <c r="BS21" s="214">
        <v>863.7</v>
      </c>
      <c r="BT21" s="71">
        <v>2034.1</v>
      </c>
      <c r="BU21" s="71">
        <v>1312.1</v>
      </c>
      <c r="BV21" s="71">
        <v>1158.4000000000001</v>
      </c>
      <c r="BW21" s="301">
        <v>4504.6000000000004</v>
      </c>
      <c r="BX21" s="214">
        <v>1093.7</v>
      </c>
      <c r="BY21" s="71">
        <v>2408.3000000000002</v>
      </c>
      <c r="BZ21" s="71">
        <v>1244.9000000000001</v>
      </c>
      <c r="CA21" s="71">
        <f>CB21-BZ21-BY21</f>
        <v>1083.6999999999994</v>
      </c>
      <c r="CB21" s="502">
        <v>4736.8999999999996</v>
      </c>
      <c r="CC21" s="214">
        <v>1002.7</v>
      </c>
      <c r="CD21" s="71">
        <v>2337.1999999999998</v>
      </c>
      <c r="CE21" s="71">
        <v>1372.4</v>
      </c>
      <c r="CF21" s="71"/>
      <c r="CG21" s="301"/>
    </row>
    <row r="22" spans="1:87">
      <c r="A22" s="295" t="s">
        <v>141</v>
      </c>
      <c r="B22" s="288"/>
      <c r="C22" s="302">
        <f>+C21/495.4-1</f>
        <v>5.4097698829228991E-2</v>
      </c>
      <c r="D22" s="288">
        <f>+D21/740.6-1</f>
        <v>0.11369160140426682</v>
      </c>
      <c r="E22" s="288">
        <f>+E21/709.7-1</f>
        <v>0.21332957587713119</v>
      </c>
      <c r="F22" s="288">
        <f>+F21/521-1</f>
        <v>0.17255278310940492</v>
      </c>
      <c r="G22" s="289">
        <f>G21/B21-1</f>
        <v>0.14282239429196908</v>
      </c>
      <c r="H22" s="302">
        <f>+H21/C21-1</f>
        <v>7.1811566449636155E-2</v>
      </c>
      <c r="I22" s="288">
        <f>+I21/D21-1</f>
        <v>8.244422890397729E-3</v>
      </c>
      <c r="J22" s="288">
        <f>+J21/E21-1</f>
        <v>-5.4581349436766957E-2</v>
      </c>
      <c r="K22" s="288">
        <f>+K21/F21-1</f>
        <v>0.1137665739073499</v>
      </c>
      <c r="L22" s="286">
        <f>L21/G21-1</f>
        <v>2.3696346222064735E-2</v>
      </c>
      <c r="M22" s="305">
        <f>M21/G21-1</f>
        <v>3.1926214969848488E-3</v>
      </c>
      <c r="N22" s="302">
        <f>+N21/H21-1</f>
        <v>5.9674825799535425E-2</v>
      </c>
      <c r="O22" s="288">
        <f>+O21/I21-1</f>
        <v>0.13143338143338146</v>
      </c>
      <c r="P22" s="288">
        <f>+P21/J21-1</f>
        <v>0.16263358309789955</v>
      </c>
      <c r="Q22" s="288">
        <f>+Q21/K21-1</f>
        <v>0.14138741916519693</v>
      </c>
      <c r="R22" s="289">
        <f>+R21/L21-1</f>
        <v>0.12866449511400635</v>
      </c>
      <c r="S22" s="302" t="s">
        <v>61</v>
      </c>
      <c r="T22" s="288" t="s">
        <v>61</v>
      </c>
      <c r="U22" s="288" t="s">
        <v>61</v>
      </c>
      <c r="V22" s="288">
        <f>V21/AM21-1</f>
        <v>0.19475655430711614</v>
      </c>
      <c r="W22" s="289">
        <f>W21/M21-1</f>
        <v>0.12970297029702982</v>
      </c>
      <c r="X22" s="302">
        <f>X21/S21-1</f>
        <v>0.10308219178082201</v>
      </c>
      <c r="Y22" s="288">
        <f>Y21/T21-1</f>
        <v>2.3207895022231861E-2</v>
      </c>
      <c r="Z22" s="288"/>
      <c r="AA22" s="288">
        <f>AA21/U21-1</f>
        <v>-5.9906835662442037E-2</v>
      </c>
      <c r="AB22" s="288">
        <f>AB21/V21-1</f>
        <v>1.0057471264367734E-2</v>
      </c>
      <c r="AC22" s="289">
        <f>AC21/W21-1</f>
        <v>1.0642293727306962E-2</v>
      </c>
      <c r="AD22" s="302">
        <f>AD21/X21-1</f>
        <v>-7.1716858118596738E-2</v>
      </c>
      <c r="AE22" s="288">
        <f>AE21/Y21-1</f>
        <v>-9.6555378908320111E-2</v>
      </c>
      <c r="AF22" s="288">
        <f>AF21/(X21+Y21)-1</f>
        <v>-8.6477294199155952E-2</v>
      </c>
      <c r="AG22" s="288">
        <f>AG21/AA21-1</f>
        <v>-1.6478451256049742E-2</v>
      </c>
      <c r="AH22" s="288">
        <f>AH21/AB21-1</f>
        <v>-9.0521143152722083E-2</v>
      </c>
      <c r="AI22" s="289">
        <f>AI21/AC21-1</f>
        <v>-6.8632309217046661E-2</v>
      </c>
      <c r="AJ22" s="302">
        <f>AJ21/AD21-1</f>
        <v>-4.6488294314381173E-2</v>
      </c>
      <c r="AK22" s="288">
        <f>AK21/(AD21+AE21)-1</f>
        <v>-4.4884169884169989E-2</v>
      </c>
      <c r="AL22" s="288">
        <f t="shared" ref="AL22:AQ22" si="18">AL21/AG21-1</f>
        <v>-0.13016988869361457</v>
      </c>
      <c r="AM22" s="288">
        <f t="shared" si="18"/>
        <v>-8.886677093701123E-2</v>
      </c>
      <c r="AN22" s="289">
        <f t="shared" si="18"/>
        <v>-7.9382409793163244E-2</v>
      </c>
      <c r="AO22" s="302">
        <f t="shared" si="18"/>
        <v>-2.0694493160294702E-2</v>
      </c>
      <c r="AP22" s="288">
        <f t="shared" si="18"/>
        <v>-4.3889410236049975E-2</v>
      </c>
      <c r="AQ22" s="288">
        <f t="shared" si="18"/>
        <v>-9.4288793103436408E-4</v>
      </c>
      <c r="AR22" s="288">
        <f t="shared" ref="AR22:AY22" si="19">AR21/AM21-1</f>
        <v>1.5605493133582948E-2</v>
      </c>
      <c r="AS22" s="289">
        <f t="shared" si="19"/>
        <v>-1.8582287179368606E-2</v>
      </c>
      <c r="AT22" s="302">
        <f t="shared" si="19"/>
        <v>0.12625358166189105</v>
      </c>
      <c r="AU22" s="288">
        <f t="shared" si="19"/>
        <v>9.769724424311077E-2</v>
      </c>
      <c r="AV22" s="288">
        <f t="shared" si="19"/>
        <v>5.5682890656599593E-2</v>
      </c>
      <c r="AW22" s="288">
        <f t="shared" si="19"/>
        <v>3.7799631223110142E-2</v>
      </c>
      <c r="AX22" s="289">
        <f t="shared" si="19"/>
        <v>7.1866349773102689E-2</v>
      </c>
      <c r="AY22" s="302">
        <f t="shared" si="19"/>
        <v>-8.3956113849578573E-2</v>
      </c>
      <c r="AZ22" s="288">
        <f>AZ21/AU21-1</f>
        <v>-3.3702455464612369E-2</v>
      </c>
      <c r="BA22" s="288">
        <f>BA21/AV21-1</f>
        <v>1.0855683269476391E-2</v>
      </c>
      <c r="BB22" s="288">
        <f>BB21/AW21-1</f>
        <v>1.228901391767856E-2</v>
      </c>
      <c r="BC22" s="289">
        <f>BC21/AX21-1</f>
        <v>-1.1056553239707556E-2</v>
      </c>
      <c r="BD22" s="302">
        <f t="shared" ref="BD22" si="20">BD21/AY21-1</f>
        <v>6.3877798993230206E-2</v>
      </c>
      <c r="BE22" s="288">
        <f>BE21/AZ21-1</f>
        <v>4.8473200939568528E-2</v>
      </c>
      <c r="BF22" s="288">
        <f>BF21/BA21-1</f>
        <v>9.8420720151610741E-2</v>
      </c>
      <c r="BG22" s="288">
        <f>BG21/BB21-1</f>
        <v>0.19043440105309339</v>
      </c>
      <c r="BH22" s="289">
        <f>BH21/BC21-1</f>
        <v>9.5899447935835713E-2</v>
      </c>
      <c r="BI22" s="302">
        <v>6.7000000000000004E-2</v>
      </c>
      <c r="BJ22" s="288">
        <v>-0.10040733197556018</v>
      </c>
      <c r="BK22" s="288">
        <f>BK21/BF21-1</f>
        <v>-9.5928226363008906E-2</v>
      </c>
      <c r="BL22" s="288">
        <f>BL21/BG21-1</f>
        <v>-0.17041405578080837</v>
      </c>
      <c r="BM22" s="289">
        <f>BM21/BH21-1</f>
        <v>-0.11722586572885973</v>
      </c>
      <c r="BN22" s="411">
        <v>-0.03</v>
      </c>
      <c r="BO22" s="412">
        <v>0.129</v>
      </c>
      <c r="BP22" s="288">
        <f>BP21/BK21-1</f>
        <v>0.23740458015267185</v>
      </c>
      <c r="BQ22" s="288">
        <f>BQ21/BL21-1</f>
        <v>0.26584715639810419</v>
      </c>
      <c r="BR22" s="289">
        <f>BR21/BM21-1</f>
        <v>0.19290815777195558</v>
      </c>
      <c r="BS22" s="302">
        <v>0.36199999999999999</v>
      </c>
      <c r="BT22" s="288">
        <f>BT21/BO21-1</f>
        <v>0.35923822251921145</v>
      </c>
      <c r="BU22" s="288">
        <v>0.34906436356158738</v>
      </c>
      <c r="BV22" s="288">
        <v>0.35532935532935539</v>
      </c>
      <c r="BW22" s="289">
        <f>BW21/BR21-1</f>
        <v>0.35525603225224134</v>
      </c>
      <c r="BX22" s="302">
        <v>0.26629616765080466</v>
      </c>
      <c r="BY22" s="288">
        <v>0.184</v>
      </c>
      <c r="BZ22" s="288">
        <f>BZ21/BU21-1</f>
        <v>-5.1215608566420157E-2</v>
      </c>
      <c r="CA22" s="288">
        <f>CA21/BV21-1</f>
        <v>-6.4485497237569689E-2</v>
      </c>
      <c r="CB22" s="289">
        <v>5.1999999999999998E-2</v>
      </c>
      <c r="CC22" s="302">
        <v>-8.3000000000000004E-2</v>
      </c>
      <c r="CD22" s="288">
        <v>-0.03</v>
      </c>
      <c r="CE22" s="288">
        <v>0.10199999999999999</v>
      </c>
      <c r="CF22" s="288"/>
      <c r="CG22" s="289"/>
      <c r="CI22" s="496"/>
    </row>
    <row r="23" spans="1:87" s="91" customFormat="1">
      <c r="A23" s="403" t="s">
        <v>140</v>
      </c>
      <c r="B23" s="75">
        <f>'Annual Segmental Analysis'!C23</f>
        <v>6543.6</v>
      </c>
      <c r="C23" s="219">
        <f t="shared" ref="C23:AC23" si="21">+C21+C19+C17</f>
        <v>1377</v>
      </c>
      <c r="D23" s="74">
        <f t="shared" si="21"/>
        <v>1923.1</v>
      </c>
      <c r="E23" s="74">
        <f t="shared" si="21"/>
        <v>1998.6</v>
      </c>
      <c r="F23" s="74">
        <f t="shared" si="21"/>
        <v>1494.9</v>
      </c>
      <c r="G23" s="303">
        <f>SUM(C23:F23)</f>
        <v>6793.6</v>
      </c>
      <c r="H23" s="310">
        <f t="shared" si="21"/>
        <v>1416.1</v>
      </c>
      <c r="I23" s="75">
        <f t="shared" si="21"/>
        <v>1979.6</v>
      </c>
      <c r="J23" s="75">
        <f t="shared" si="21"/>
        <v>1929.8000000000002</v>
      </c>
      <c r="K23" s="75">
        <f t="shared" si="21"/>
        <v>1528.8</v>
      </c>
      <c r="L23" s="76">
        <f>SUM(H23:K23)</f>
        <v>6854.3</v>
      </c>
      <c r="M23" s="311">
        <f>+M21+M19+M17</f>
        <v>6824.3</v>
      </c>
      <c r="N23" s="219">
        <f t="shared" si="21"/>
        <v>1436.5</v>
      </c>
      <c r="O23" s="74">
        <f t="shared" si="21"/>
        <v>1995.6</v>
      </c>
      <c r="P23" s="74">
        <f t="shared" si="21"/>
        <v>2036.3000000000002</v>
      </c>
      <c r="Q23" s="74">
        <f t="shared" si="21"/>
        <v>1609.8999999999996</v>
      </c>
      <c r="R23" s="303">
        <f t="shared" si="21"/>
        <v>7078.2999999999993</v>
      </c>
      <c r="S23" s="219">
        <f t="shared" si="21"/>
        <v>1433.4</v>
      </c>
      <c r="T23" s="74">
        <f t="shared" si="21"/>
        <v>1985.6999999999998</v>
      </c>
      <c r="U23" s="74">
        <f t="shared" si="21"/>
        <v>2020.7999999999997</v>
      </c>
      <c r="V23" s="74">
        <f t="shared" si="21"/>
        <v>1604.8000000000002</v>
      </c>
      <c r="W23" s="303">
        <f t="shared" si="21"/>
        <v>7044.6999999999989</v>
      </c>
      <c r="X23" s="310">
        <f t="shared" si="21"/>
        <v>1431.9</v>
      </c>
      <c r="Y23" s="75">
        <f t="shared" si="21"/>
        <v>1949.2</v>
      </c>
      <c r="Z23" s="75">
        <f t="shared" si="21"/>
        <v>3381.1000000000004</v>
      </c>
      <c r="AA23" s="75">
        <f t="shared" si="21"/>
        <v>1918.3</v>
      </c>
      <c r="AB23" s="75">
        <f t="shared" si="21"/>
        <v>1574.6</v>
      </c>
      <c r="AC23" s="303">
        <f t="shared" si="21"/>
        <v>6874</v>
      </c>
      <c r="AD23" s="310">
        <f t="shared" ref="AD23:AL23" si="22">+AD21+AD19+AD17</f>
        <v>1331.1</v>
      </c>
      <c r="AE23" s="75">
        <f t="shared" si="22"/>
        <v>1852</v>
      </c>
      <c r="AF23" s="75">
        <f t="shared" si="22"/>
        <v>3183.1000000000004</v>
      </c>
      <c r="AG23" s="75">
        <f t="shared" si="22"/>
        <v>1817.1</v>
      </c>
      <c r="AH23" s="75">
        <f t="shared" si="22"/>
        <v>1510</v>
      </c>
      <c r="AI23" s="303">
        <f t="shared" si="22"/>
        <v>6510.2</v>
      </c>
      <c r="AJ23" s="219">
        <f t="shared" si="22"/>
        <v>1353.3000000000002</v>
      </c>
      <c r="AK23" s="74">
        <f t="shared" si="22"/>
        <v>3150.9</v>
      </c>
      <c r="AL23" s="74">
        <f t="shared" si="22"/>
        <v>1768.7</v>
      </c>
      <c r="AM23" s="74">
        <f>+AM21+AM19+AM17</f>
        <v>1426.5</v>
      </c>
      <c r="AN23" s="303">
        <f>+AN21+AN19+AN17</f>
        <v>6346.1287099599995</v>
      </c>
      <c r="AO23" s="219">
        <f>+AO21+AO19+AO17</f>
        <v>1317</v>
      </c>
      <c r="AP23" s="74">
        <v>3043.9</v>
      </c>
      <c r="AQ23" s="74">
        <v>1735.3</v>
      </c>
      <c r="AR23" s="74">
        <f>+AR21+AR19+AR17</f>
        <v>1439.8000000000002</v>
      </c>
      <c r="AS23" s="303">
        <f>+AS21+AS19+AS17</f>
        <v>6219.0060705700007</v>
      </c>
      <c r="AT23" s="219">
        <f>+AT21+AT19+AT17</f>
        <v>1376.7</v>
      </c>
      <c r="AU23" s="74">
        <v>3213.4</v>
      </c>
      <c r="AV23" s="74">
        <v>1822</v>
      </c>
      <c r="AW23" s="74">
        <v>1486.6</v>
      </c>
      <c r="AX23" s="303">
        <v>6522</v>
      </c>
      <c r="AY23" s="219">
        <f>+AY21+AY19+AY17</f>
        <v>1353</v>
      </c>
      <c r="AZ23" s="74">
        <v>3228.3</v>
      </c>
      <c r="BA23" s="74">
        <v>1868.5</v>
      </c>
      <c r="BB23" s="74">
        <v>1560.3</v>
      </c>
      <c r="BC23" s="303">
        <v>6657.1</v>
      </c>
      <c r="BD23" s="219">
        <v>1412.6</v>
      </c>
      <c r="BE23" s="74">
        <v>3352.4</v>
      </c>
      <c r="BF23" s="74">
        <v>1961.4</v>
      </c>
      <c r="BG23" s="74">
        <v>1712.2</v>
      </c>
      <c r="BH23" s="303">
        <v>7026</v>
      </c>
      <c r="BI23" s="219">
        <v>1408.8</v>
      </c>
      <c r="BJ23" s="74">
        <v>2831.2</v>
      </c>
      <c r="BK23" s="74">
        <v>1829.4</v>
      </c>
      <c r="BL23" s="74">
        <f>BL21+BL19+BL17</f>
        <v>1471.2</v>
      </c>
      <c r="BM23" s="303">
        <v>6131.8</v>
      </c>
      <c r="BN23" s="413">
        <v>1352.1</v>
      </c>
      <c r="BO23" s="414">
        <v>3247.9</v>
      </c>
      <c r="BP23" s="74">
        <v>2124.3000000000002</v>
      </c>
      <c r="BQ23" s="74">
        <v>1796.2</v>
      </c>
      <c r="BR23" s="303">
        <v>7168.4</v>
      </c>
      <c r="BS23" s="219">
        <v>1770.7</v>
      </c>
      <c r="BT23" s="74">
        <f>SUM(BT21,BT19,BT17)</f>
        <v>4209.8999999999996</v>
      </c>
      <c r="BU23" s="74">
        <v>2695.7</v>
      </c>
      <c r="BV23" s="74">
        <v>2292.8000000000002</v>
      </c>
      <c r="BW23" s="303">
        <f>BW17+BW19+BW21</f>
        <v>9198.4000000000015</v>
      </c>
      <c r="BX23" s="219">
        <v>2202.5</v>
      </c>
      <c r="BY23" s="74">
        <v>5021.5</v>
      </c>
      <c r="BZ23" s="74">
        <v>2797.8</v>
      </c>
      <c r="CA23" s="74">
        <f>CB23-BZ23-BY23</f>
        <v>2364.6999999999998</v>
      </c>
      <c r="CB23" s="303">
        <v>10184</v>
      </c>
      <c r="CC23" s="219">
        <v>2225.4</v>
      </c>
      <c r="CD23" s="74">
        <v>5175.6000000000004</v>
      </c>
      <c r="CE23" s="74">
        <v>3047.9</v>
      </c>
      <c r="CF23" s="74"/>
      <c r="CG23" s="303"/>
    </row>
    <row r="24" spans="1:87" ht="14.5" thickBot="1">
      <c r="A24" s="297" t="s">
        <v>141</v>
      </c>
      <c r="B24" s="180"/>
      <c r="C24" s="31">
        <f>+C23/1374.3-1</f>
        <v>1.9646365422396617E-3</v>
      </c>
      <c r="D24" s="42">
        <f>+D23/1891.4-1</f>
        <v>1.6760071904409424E-2</v>
      </c>
      <c r="E24" s="42">
        <f>+E23/1884.8-1</f>
        <v>6.037775891341246E-2</v>
      </c>
      <c r="F24" s="42">
        <f>+F23/1393.1-1</f>
        <v>7.3074438303065259E-2</v>
      </c>
      <c r="G24" s="98">
        <f>G23/B23-1</f>
        <v>3.8205269270737752E-2</v>
      </c>
      <c r="H24" s="31">
        <f>+H23/C23-1</f>
        <v>2.839506172839501E-2</v>
      </c>
      <c r="I24" s="42">
        <f>+I23/D23-1</f>
        <v>2.9379647444230717E-2</v>
      </c>
      <c r="J24" s="42">
        <f>+J23/E23-1</f>
        <v>-3.4424096867807341E-2</v>
      </c>
      <c r="K24" s="42">
        <f>+K23/F23-1</f>
        <v>2.2677102147300676E-2</v>
      </c>
      <c r="L24" s="97">
        <f>L23/G23-1</f>
        <v>8.9348798869524071E-3</v>
      </c>
      <c r="M24" s="32">
        <f>M23/G23-1</f>
        <v>4.5189590202543428E-3</v>
      </c>
      <c r="N24" s="31">
        <f>+N23/H23-1</f>
        <v>1.4405762304922076E-2</v>
      </c>
      <c r="O24" s="42">
        <f>+O23/I23-1</f>
        <v>8.0824408971509332E-3</v>
      </c>
      <c r="P24" s="42">
        <f>+P23/J23-1</f>
        <v>5.5187066017203801E-2</v>
      </c>
      <c r="Q24" s="42">
        <v>5.3048142333856463E-2</v>
      </c>
      <c r="R24" s="98">
        <v>3.2680215339276009E-2</v>
      </c>
      <c r="S24" s="31" t="s">
        <v>61</v>
      </c>
      <c r="T24" s="42" t="s">
        <v>61</v>
      </c>
      <c r="U24" s="42" t="s">
        <v>61</v>
      </c>
      <c r="V24" s="42">
        <f>V23/AM23-1</f>
        <v>0.12499123729407646</v>
      </c>
      <c r="W24" s="98">
        <f>W23/M23-1</f>
        <v>3.2296352739474843E-2</v>
      </c>
      <c r="X24" s="31">
        <f>X23/S23-1</f>
        <v>-1.0464629552113802E-3</v>
      </c>
      <c r="Y24" s="42">
        <f>Y23/T23-1</f>
        <v>-1.8381427204512191E-2</v>
      </c>
      <c r="Z24" s="42"/>
      <c r="AA24" s="42">
        <f>AA23/U23-1</f>
        <v>-5.0722486144101242E-2</v>
      </c>
      <c r="AB24" s="42">
        <f>AB23/V23-1</f>
        <v>-1.8818544366899448E-2</v>
      </c>
      <c r="AC24" s="98">
        <f>AC23/W23-1</f>
        <v>-2.4230982156798531E-2</v>
      </c>
      <c r="AD24" s="31">
        <f>AD23/X23-1</f>
        <v>-7.039597737272163E-2</v>
      </c>
      <c r="AE24" s="42">
        <f>AE23/Y23-1</f>
        <v>-4.9866611943361394E-2</v>
      </c>
      <c r="AF24" s="42">
        <f>AF23/(X23+Y23)-1</f>
        <v>-5.8560823400668371E-2</v>
      </c>
      <c r="AG24" s="42">
        <f>AG23/AA23-1</f>
        <v>-5.2755043528123879E-2</v>
      </c>
      <c r="AH24" s="42">
        <f>AH23/AB23-1</f>
        <v>-4.1026292391718511E-2</v>
      </c>
      <c r="AI24" s="98">
        <f>AI23/AC23-1</f>
        <v>-5.2924061681699164E-2</v>
      </c>
      <c r="AJ24" s="31">
        <f>AJ23/AD23-1</f>
        <v>1.6677935542033007E-2</v>
      </c>
      <c r="AK24" s="42">
        <f>AK23/(AD23+AE23)-1</f>
        <v>-1.0115924727466918E-2</v>
      </c>
      <c r="AL24" s="42">
        <f t="shared" ref="AL24:AQ24" si="23">AL23/AG23-1</f>
        <v>-2.6635848329756184E-2</v>
      </c>
      <c r="AM24" s="42">
        <f t="shared" si="23"/>
        <v>-5.529801324503314E-2</v>
      </c>
      <c r="AN24" s="98">
        <f t="shared" si="23"/>
        <v>-2.5202188878989951E-2</v>
      </c>
      <c r="AO24" s="31">
        <f t="shared" si="23"/>
        <v>-2.6823320771447667E-2</v>
      </c>
      <c r="AP24" s="42">
        <f t="shared" si="23"/>
        <v>-3.3958551524961078E-2</v>
      </c>
      <c r="AQ24" s="42">
        <f t="shared" si="23"/>
        <v>-1.8883926047379429E-2</v>
      </c>
      <c r="AR24" s="42">
        <f t="shared" ref="AR24:AY24" si="24">AR23/AM23-1</f>
        <v>9.3235191026990183E-3</v>
      </c>
      <c r="AS24" s="98">
        <f t="shared" si="24"/>
        <v>-2.0031525548872775E-2</v>
      </c>
      <c r="AT24" s="31">
        <f t="shared" si="24"/>
        <v>4.5330296127562786E-2</v>
      </c>
      <c r="AU24" s="42">
        <f t="shared" si="24"/>
        <v>5.5685140773350073E-2</v>
      </c>
      <c r="AV24" s="42">
        <f t="shared" si="24"/>
        <v>4.9962542499855989E-2</v>
      </c>
      <c r="AW24" s="42">
        <f t="shared" si="24"/>
        <v>3.2504514515904859E-2</v>
      </c>
      <c r="AX24" s="98">
        <f t="shared" si="24"/>
        <v>4.8720635740146179E-2</v>
      </c>
      <c r="AY24" s="31">
        <f t="shared" si="24"/>
        <v>-1.7215079538025702E-2</v>
      </c>
      <c r="AZ24" s="42">
        <f>AZ23/AU23-1</f>
        <v>4.6368332607207297E-3</v>
      </c>
      <c r="BA24" s="42">
        <f>BA23/AV23-1</f>
        <v>2.5521405049396373E-2</v>
      </c>
      <c r="BB24" s="42">
        <f>BB23/AW23-1</f>
        <v>4.9576214180008016E-2</v>
      </c>
      <c r="BC24" s="98">
        <f>BC23/AX23-1</f>
        <v>2.0714504753143181E-2</v>
      </c>
      <c r="BD24" s="31">
        <f t="shared" ref="BD24" si="25">BD23/AY23-1</f>
        <v>4.405025868440493E-2</v>
      </c>
      <c r="BE24" s="42">
        <f>BE23/AZ23-1</f>
        <v>3.8441284886782556E-2</v>
      </c>
      <c r="BF24" s="42">
        <f>BF23/BA23-1</f>
        <v>4.9719025956649787E-2</v>
      </c>
      <c r="BG24" s="42">
        <f>BG23/BB23-1</f>
        <v>9.735307312696273E-2</v>
      </c>
      <c r="BH24" s="98">
        <f>BH23/BC23-1</f>
        <v>5.5414519835964571E-2</v>
      </c>
      <c r="BI24" s="31">
        <v>-3.0000000000000001E-3</v>
      </c>
      <c r="BJ24" s="42">
        <v>-0.15547070755279813</v>
      </c>
      <c r="BK24" s="42">
        <f>BK23/BF23-1</f>
        <v>-6.7298868155399205E-2</v>
      </c>
      <c r="BL24" s="42">
        <f>BL23/BG23-1</f>
        <v>-0.14075458474477276</v>
      </c>
      <c r="BM24" s="98">
        <f>BM23/BH23-1</f>
        <v>-0.12727013948192423</v>
      </c>
      <c r="BN24" s="415">
        <v>-0.04</v>
      </c>
      <c r="BO24" s="416">
        <v>0.14699999999999999</v>
      </c>
      <c r="BP24" s="42">
        <f>BP23/BK23-1</f>
        <v>0.16120039357166283</v>
      </c>
      <c r="BQ24" s="42">
        <f>BQ23/BL23-1</f>
        <v>0.22090810222947255</v>
      </c>
      <c r="BR24" s="98">
        <f>BR23/BM23-1</f>
        <v>0.16905313284842949</v>
      </c>
      <c r="BS24" s="31">
        <v>0.31</v>
      </c>
      <c r="BT24" s="42">
        <f>BT23/BO23-1</f>
        <v>0.29619138520274624</v>
      </c>
      <c r="BU24" s="42">
        <v>0.26898272372075488</v>
      </c>
      <c r="BV24" s="42">
        <v>0.27647255316779873</v>
      </c>
      <c r="BW24" s="98">
        <f>BW23/BR23-1</f>
        <v>0.2831873221360417</v>
      </c>
      <c r="BX24" s="31">
        <v>0.24385836110012987</v>
      </c>
      <c r="BY24" s="42">
        <v>0.193</v>
      </c>
      <c r="BZ24" s="42">
        <f>BZ23/BU23-1</f>
        <v>3.7875134473420724E-2</v>
      </c>
      <c r="CA24" s="42">
        <f t="shared" ref="CA24" si="26">CA23/BV23-1</f>
        <v>3.1359036985345368E-2</v>
      </c>
      <c r="CB24" s="98">
        <v>0.107</v>
      </c>
      <c r="CC24" s="31">
        <v>0.01</v>
      </c>
      <c r="CD24" s="42">
        <v>3.1E-2</v>
      </c>
      <c r="CE24" s="42">
        <v>8.8999999999999996E-2</v>
      </c>
      <c r="CF24" s="42"/>
      <c r="CG24" s="98"/>
      <c r="CI24" s="496"/>
    </row>
    <row r="25" spans="1:87" ht="14.5" thickBot="1">
      <c r="B25" s="77"/>
      <c r="C25" s="77"/>
      <c r="D25" s="77"/>
      <c r="E25" s="77"/>
      <c r="F25" s="77"/>
      <c r="G25" s="77"/>
      <c r="H25" s="77"/>
      <c r="I25" s="77"/>
      <c r="J25" s="77"/>
      <c r="K25" s="77"/>
      <c r="L25" s="78"/>
      <c r="M25" s="77"/>
      <c r="N25" s="77"/>
      <c r="O25" s="77"/>
      <c r="P25" s="77"/>
      <c r="Q25" s="77"/>
      <c r="R25" s="77"/>
      <c r="S25" s="77"/>
      <c r="T25" s="77"/>
      <c r="U25" s="77"/>
      <c r="V25" s="77"/>
      <c r="W25" s="77"/>
      <c r="X25" s="77"/>
      <c r="AB25" s="77"/>
      <c r="AC25" s="77"/>
      <c r="AD25" s="77"/>
      <c r="AH25" s="77"/>
      <c r="AI25" s="77"/>
      <c r="AJ25" s="77"/>
      <c r="AO25" s="70"/>
      <c r="AP25" s="70"/>
      <c r="AQ25" s="70"/>
      <c r="AR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CD25" s="54"/>
    </row>
    <row r="26" spans="1:87" s="94" customFormat="1" ht="20">
      <c r="A26" s="527" t="s">
        <v>153</v>
      </c>
      <c r="B26" s="306">
        <v>2009</v>
      </c>
      <c r="C26" s="298">
        <f>$C$4</f>
        <v>2010</v>
      </c>
      <c r="D26" s="93"/>
      <c r="E26" s="93"/>
      <c r="F26" s="93"/>
      <c r="G26" s="93"/>
      <c r="H26" s="298">
        <f>$H$4</f>
        <v>2011</v>
      </c>
      <c r="I26" s="93"/>
      <c r="J26" s="93"/>
      <c r="K26" s="93"/>
      <c r="L26" s="93"/>
      <c r="M26" s="299"/>
      <c r="N26" s="298">
        <f>$N$4</f>
        <v>2012</v>
      </c>
      <c r="O26" s="93"/>
      <c r="P26" s="93"/>
      <c r="Q26" s="93"/>
      <c r="R26" s="299"/>
      <c r="S26" s="298" t="str">
        <f>$S$4</f>
        <v>2012*</v>
      </c>
      <c r="T26" s="93"/>
      <c r="U26" s="93"/>
      <c r="V26" s="93"/>
      <c r="W26" s="299"/>
      <c r="X26" s="312" t="str">
        <f>X15</f>
        <v>2013</v>
      </c>
      <c r="Y26" s="93"/>
      <c r="Z26" s="93"/>
      <c r="AA26" s="93"/>
      <c r="AB26" s="93"/>
      <c r="AC26" s="299"/>
      <c r="AD26" s="312" t="str">
        <f>AD15</f>
        <v>2014</v>
      </c>
      <c r="AE26" s="93"/>
      <c r="AF26" s="93"/>
      <c r="AG26" s="93"/>
      <c r="AH26" s="93"/>
      <c r="AI26" s="299"/>
      <c r="AJ26" s="298">
        <v>2015</v>
      </c>
      <c r="AK26" s="93"/>
      <c r="AL26" s="93"/>
      <c r="AM26" s="93"/>
      <c r="AN26" s="299"/>
      <c r="AO26" s="298">
        <v>2016</v>
      </c>
      <c r="AP26" s="93"/>
      <c r="AQ26" s="93"/>
      <c r="AR26" s="93"/>
      <c r="AS26" s="299"/>
      <c r="AT26" s="298">
        <v>2017</v>
      </c>
      <c r="AU26" s="93"/>
      <c r="AV26" s="93"/>
      <c r="AW26" s="93"/>
      <c r="AX26" s="299"/>
      <c r="AY26" s="298">
        <v>2018</v>
      </c>
      <c r="AZ26" s="93"/>
      <c r="BA26" s="93"/>
      <c r="BB26" s="93"/>
      <c r="BC26" s="299"/>
      <c r="BD26" s="298">
        <v>2019</v>
      </c>
      <c r="BE26" s="93"/>
      <c r="BF26" s="93"/>
      <c r="BG26" s="93"/>
      <c r="BH26" s="299"/>
      <c r="BI26" s="298">
        <v>2020</v>
      </c>
      <c r="BJ26" s="93"/>
      <c r="BK26" s="93"/>
      <c r="BL26" s="93"/>
      <c r="BM26" s="299"/>
      <c r="BN26" s="298">
        <v>2021</v>
      </c>
      <c r="BO26" s="93"/>
      <c r="BP26" s="93"/>
      <c r="BQ26" s="93"/>
      <c r="BR26" s="299"/>
      <c r="BS26" s="298">
        <v>2022</v>
      </c>
      <c r="BT26" s="93"/>
      <c r="BU26" s="93"/>
      <c r="BV26" s="93"/>
      <c r="BW26" s="299"/>
      <c r="BX26" s="298">
        <v>2023</v>
      </c>
      <c r="BY26" s="93"/>
      <c r="BZ26" s="93"/>
      <c r="CA26" s="93"/>
      <c r="CB26" s="299"/>
      <c r="CC26" s="298">
        <v>2024</v>
      </c>
      <c r="CD26" s="93"/>
      <c r="CE26" s="93"/>
      <c r="CF26" s="93"/>
      <c r="CG26" s="299"/>
    </row>
    <row r="27" spans="1:87" s="95" customFormat="1" ht="20.9" customHeight="1">
      <c r="A27" s="528"/>
      <c r="B27" s="307" t="s">
        <v>120</v>
      </c>
      <c r="C27" s="300" t="s">
        <v>70</v>
      </c>
      <c r="D27" s="100" t="s">
        <v>71</v>
      </c>
      <c r="E27" s="100" t="s">
        <v>72</v>
      </c>
      <c r="F27" s="100" t="s">
        <v>73</v>
      </c>
      <c r="G27" s="102" t="s">
        <v>120</v>
      </c>
      <c r="H27" s="300" t="s">
        <v>70</v>
      </c>
      <c r="I27" s="100" t="s">
        <v>71</v>
      </c>
      <c r="J27" s="100" t="s">
        <v>72</v>
      </c>
      <c r="K27" s="100" t="s">
        <v>73</v>
      </c>
      <c r="L27" s="99" t="s">
        <v>120</v>
      </c>
      <c r="M27" s="102" t="s">
        <v>150</v>
      </c>
      <c r="N27" s="300" t="s">
        <v>70</v>
      </c>
      <c r="O27" s="100" t="s">
        <v>71</v>
      </c>
      <c r="P27" s="100" t="s">
        <v>72</v>
      </c>
      <c r="Q27" s="100" t="s">
        <v>73</v>
      </c>
      <c r="R27" s="102" t="s">
        <v>120</v>
      </c>
      <c r="S27" s="300" t="s">
        <v>79</v>
      </c>
      <c r="T27" s="100" t="s">
        <v>80</v>
      </c>
      <c r="U27" s="100" t="s">
        <v>81</v>
      </c>
      <c r="V27" s="100" t="s">
        <v>76</v>
      </c>
      <c r="W27" s="102" t="s">
        <v>150</v>
      </c>
      <c r="X27" s="300" t="s">
        <v>70</v>
      </c>
      <c r="Y27" s="100" t="s">
        <v>71</v>
      </c>
      <c r="Z27" s="100" t="s">
        <v>111</v>
      </c>
      <c r="AA27" s="100" t="s">
        <v>72</v>
      </c>
      <c r="AB27" s="100" t="s">
        <v>73</v>
      </c>
      <c r="AC27" s="313" t="s">
        <v>120</v>
      </c>
      <c r="AD27" s="300" t="s">
        <v>70</v>
      </c>
      <c r="AE27" s="100" t="s">
        <v>71</v>
      </c>
      <c r="AF27" s="100" t="s">
        <v>111</v>
      </c>
      <c r="AG27" s="100" t="s">
        <v>72</v>
      </c>
      <c r="AH27" s="100" t="s">
        <v>73</v>
      </c>
      <c r="AI27" s="313" t="s">
        <v>120</v>
      </c>
      <c r="AJ27" s="300" t="s">
        <v>70</v>
      </c>
      <c r="AK27" s="100" t="s">
        <v>111</v>
      </c>
      <c r="AL27" s="100" t="s">
        <v>72</v>
      </c>
      <c r="AM27" s="100" t="s">
        <v>73</v>
      </c>
      <c r="AN27" s="102" t="s">
        <v>120</v>
      </c>
      <c r="AO27" s="300" t="s">
        <v>70</v>
      </c>
      <c r="AP27" s="100" t="s">
        <v>111</v>
      </c>
      <c r="AQ27" s="100" t="s">
        <v>72</v>
      </c>
      <c r="AR27" s="100" t="s">
        <v>73</v>
      </c>
      <c r="AS27" s="102" t="s">
        <v>120</v>
      </c>
      <c r="AT27" s="300" t="s">
        <v>70</v>
      </c>
      <c r="AU27" s="100" t="s">
        <v>111</v>
      </c>
      <c r="AV27" s="100" t="s">
        <v>72</v>
      </c>
      <c r="AW27" s="100" t="s">
        <v>73</v>
      </c>
      <c r="AX27" s="102" t="s">
        <v>120</v>
      </c>
      <c r="AY27" s="300" t="s">
        <v>70</v>
      </c>
      <c r="AZ27" s="100" t="s">
        <v>111</v>
      </c>
      <c r="BA27" s="100" t="s">
        <v>72</v>
      </c>
      <c r="BB27" s="100" t="s">
        <v>73</v>
      </c>
      <c r="BC27" s="102" t="s">
        <v>120</v>
      </c>
      <c r="BD27" s="300" t="s">
        <v>70</v>
      </c>
      <c r="BE27" s="100" t="s">
        <v>111</v>
      </c>
      <c r="BF27" s="100" t="s">
        <v>72</v>
      </c>
      <c r="BG27" s="100" t="s">
        <v>73</v>
      </c>
      <c r="BH27" s="102" t="s">
        <v>120</v>
      </c>
      <c r="BI27" s="300" t="s">
        <v>70</v>
      </c>
      <c r="BJ27" s="100" t="s">
        <v>111</v>
      </c>
      <c r="BK27" s="100" t="s">
        <v>72</v>
      </c>
      <c r="BL27" s="100" t="s">
        <v>73</v>
      </c>
      <c r="BM27" s="102" t="s">
        <v>120</v>
      </c>
      <c r="BN27" s="407" t="s">
        <v>70</v>
      </c>
      <c r="BO27" s="408" t="s">
        <v>111</v>
      </c>
      <c r="BP27" s="100" t="s">
        <v>72</v>
      </c>
      <c r="BQ27" s="100" t="s">
        <v>73</v>
      </c>
      <c r="BR27" s="102" t="s">
        <v>120</v>
      </c>
      <c r="BS27" s="300" t="s">
        <v>70</v>
      </c>
      <c r="BT27" s="100" t="s">
        <v>111</v>
      </c>
      <c r="BU27" s="100" t="s">
        <v>72</v>
      </c>
      <c r="BV27" s="100" t="s">
        <v>73</v>
      </c>
      <c r="BW27" s="102" t="s">
        <v>120</v>
      </c>
      <c r="BX27" s="300" t="s">
        <v>70</v>
      </c>
      <c r="BY27" s="100" t="s">
        <v>111</v>
      </c>
      <c r="BZ27" s="100" t="s">
        <v>72</v>
      </c>
      <c r="CA27" s="100" t="s">
        <v>73</v>
      </c>
      <c r="CB27" s="102" t="s">
        <v>120</v>
      </c>
      <c r="CC27" s="300" t="s">
        <v>70</v>
      </c>
      <c r="CD27" s="100" t="s">
        <v>111</v>
      </c>
      <c r="CE27" s="100" t="s">
        <v>72</v>
      </c>
      <c r="CF27" s="100" t="s">
        <v>73</v>
      </c>
      <c r="CG27" s="102" t="s">
        <v>120</v>
      </c>
    </row>
    <row r="28" spans="1:87">
      <c r="A28" s="294" t="s">
        <v>42</v>
      </c>
      <c r="B28" s="315">
        <f>B17/B6</f>
        <v>3.9394510226049517</v>
      </c>
      <c r="C28" s="317">
        <v>4.0167310167310166</v>
      </c>
      <c r="D28" s="108">
        <v>4.0030410542321331</v>
      </c>
      <c r="E28" s="108">
        <v>3.9355644355644355</v>
      </c>
      <c r="F28" s="108">
        <v>3.8275862068965516</v>
      </c>
      <c r="G28" s="324">
        <v>3.946811473127263</v>
      </c>
      <c r="H28" s="319">
        <v>4.0620915032679736</v>
      </c>
      <c r="I28" s="110">
        <v>3.9985007496251876</v>
      </c>
      <c r="J28" s="110">
        <v>4.0046153846153842</v>
      </c>
      <c r="K28" s="110">
        <v>3.9927344782034346</v>
      </c>
      <c r="L28" s="109">
        <v>4.0128663330950678</v>
      </c>
      <c r="M28" s="324">
        <v>3.9730903994393834</v>
      </c>
      <c r="N28" s="317">
        <v>4.0892143808255668</v>
      </c>
      <c r="O28" s="108">
        <v>3.9923954372623576</v>
      </c>
      <c r="P28" s="108">
        <v>3.9750265674814029</v>
      </c>
      <c r="Q28" s="108">
        <v>4.0247439974836574</v>
      </c>
      <c r="R28" s="324">
        <v>4.0162869141255921</v>
      </c>
      <c r="S28" s="317">
        <v>4.0483028720626635</v>
      </c>
      <c r="T28" s="108">
        <v>3.9527098831030818</v>
      </c>
      <c r="U28" s="108">
        <v>3.9374999999999978</v>
      </c>
      <c r="V28" s="108">
        <v>3.9842465753424658</v>
      </c>
      <c r="W28" s="324">
        <v>3.9767441860465111</v>
      </c>
      <c r="X28" s="319">
        <v>4.0204369274136713</v>
      </c>
      <c r="Y28" s="110">
        <v>3.9278873239436622</v>
      </c>
      <c r="Z28" s="110">
        <v>3.9690043832185351</v>
      </c>
      <c r="AA28" s="110">
        <v>3.877297297297297</v>
      </c>
      <c r="AB28" s="110">
        <v>3.7934336525307804</v>
      </c>
      <c r="AC28" s="324">
        <v>3.9034737165693203</v>
      </c>
      <c r="AD28" s="319">
        <v>4.0205635948210201</v>
      </c>
      <c r="AE28" s="110">
        <v>4.0097365406643757</v>
      </c>
      <c r="AF28" s="110">
        <v>4.01</v>
      </c>
      <c r="AG28" s="110">
        <v>3.9497607655502396</v>
      </c>
      <c r="AH28" s="110">
        <v>3.9444053483462351</v>
      </c>
      <c r="AI28" s="324">
        <v>3.9806566970091026</v>
      </c>
      <c r="AJ28" s="317">
        <v>4.0869565217391308</v>
      </c>
      <c r="AK28" s="108">
        <v>4.05</v>
      </c>
      <c r="AL28" s="108">
        <v>3.91</v>
      </c>
      <c r="AM28" s="108">
        <v>4.0095447870778269</v>
      </c>
      <c r="AN28" s="324">
        <v>4.001989601158833</v>
      </c>
      <c r="AO28" s="317">
        <v>4.0492424242424239</v>
      </c>
      <c r="AP28" s="108">
        <v>4.0199999999999996</v>
      </c>
      <c r="AQ28" s="108">
        <v>3.87</v>
      </c>
      <c r="AR28" s="108">
        <v>3.9970276797324913</v>
      </c>
      <c r="AS28" s="324">
        <v>3.9692411322140058</v>
      </c>
      <c r="AT28" s="317">
        <v>4.04</v>
      </c>
      <c r="AU28" s="108">
        <v>4.0199999999999996</v>
      </c>
      <c r="AV28" s="108">
        <v>3.88</v>
      </c>
      <c r="AW28" s="108">
        <v>4</v>
      </c>
      <c r="AX28" s="324">
        <v>3.97</v>
      </c>
      <c r="AY28" s="317">
        <v>4</v>
      </c>
      <c r="AZ28" s="108">
        <v>4</v>
      </c>
      <c r="BA28" s="108">
        <v>3.85</v>
      </c>
      <c r="BB28" s="108">
        <v>4.13</v>
      </c>
      <c r="BC28" s="324">
        <v>3.99</v>
      </c>
      <c r="BD28" s="317">
        <v>4.07</v>
      </c>
      <c r="BE28" s="108">
        <v>4.08</v>
      </c>
      <c r="BF28" s="108">
        <v>3.89</v>
      </c>
      <c r="BG28" s="108">
        <v>4.0999999999999996</v>
      </c>
      <c r="BH28" s="324">
        <v>4.03</v>
      </c>
      <c r="BI28" s="317">
        <v>4.04</v>
      </c>
      <c r="BJ28" s="108">
        <v>4.0199999999999996</v>
      </c>
      <c r="BK28" s="108">
        <v>4.03</v>
      </c>
      <c r="BL28" s="108">
        <v>4.13</v>
      </c>
      <c r="BM28" s="324">
        <v>4.05</v>
      </c>
      <c r="BN28" s="417">
        <v>4.08</v>
      </c>
      <c r="BO28" s="418">
        <v>4.1900000000000004</v>
      </c>
      <c r="BP28" s="108">
        <v>4.1100000000000003</v>
      </c>
      <c r="BQ28" s="108">
        <v>4.3418553688823955</v>
      </c>
      <c r="BR28" s="324">
        <v>4.2024071876589257</v>
      </c>
      <c r="BS28" s="317">
        <v>4.45</v>
      </c>
      <c r="BT28" s="108">
        <v>4.5279685966633956</v>
      </c>
      <c r="BU28" s="108">
        <v>4.5157520325203251</v>
      </c>
      <c r="BV28" s="108">
        <v>4.9589816124469595</v>
      </c>
      <c r="BW28" s="324">
        <v>4.6188849200186368</v>
      </c>
      <c r="BX28" s="317">
        <v>5.0883856829802774</v>
      </c>
      <c r="BY28" s="108">
        <v>5.31</v>
      </c>
      <c r="BZ28" s="108">
        <v>5.2489059080962797</v>
      </c>
      <c r="CA28" s="108">
        <f>CA17/CA6</f>
        <v>5.5268817204301053</v>
      </c>
      <c r="CB28" s="324">
        <f>CB17/CB6</f>
        <v>5.3419755050103381</v>
      </c>
      <c r="CC28" s="317">
        <v>5.63</v>
      </c>
      <c r="CD28" s="108">
        <v>5.6</v>
      </c>
      <c r="CE28" s="108">
        <v>5.4</v>
      </c>
      <c r="CF28" s="71"/>
      <c r="CG28" s="301"/>
    </row>
    <row r="29" spans="1:87">
      <c r="A29" s="295" t="s">
        <v>141</v>
      </c>
      <c r="B29" s="288"/>
      <c r="C29" s="302">
        <v>9.2288986761348557E-3</v>
      </c>
      <c r="D29" s="288">
        <v>3.2684346446447687E-3</v>
      </c>
      <c r="E29" s="288">
        <v>9.1190860421630493E-3</v>
      </c>
      <c r="F29" s="288">
        <v>-1.604467689034661E-2</v>
      </c>
      <c r="G29" s="289">
        <v>1.8683949819597867E-3</v>
      </c>
      <c r="H29" s="302">
        <v>1.1292886266970781E-2</v>
      </c>
      <c r="I29" s="288">
        <v>-1.1342138502790089E-3</v>
      </c>
      <c r="J29" s="288">
        <v>1.7545373778398154E-2</v>
      </c>
      <c r="K29" s="288">
        <v>4.3146845656753197E-2</v>
      </c>
      <c r="L29" s="287">
        <v>1.6736259235474948E-2</v>
      </c>
      <c r="M29" s="289">
        <v>6.6582674371569173E-3</v>
      </c>
      <c r="N29" s="302">
        <v>6.6770720294637709E-3</v>
      </c>
      <c r="O29" s="288">
        <v>-1.5269003922038227E-3</v>
      </c>
      <c r="P29" s="288">
        <v>-7.3886788847821183E-3</v>
      </c>
      <c r="Q29" s="288">
        <v>8.0169416361053347E-3</v>
      </c>
      <c r="R29" s="289">
        <v>8.5240343101244953E-4</v>
      </c>
      <c r="S29" s="302" t="s">
        <v>61</v>
      </c>
      <c r="T29" s="288" t="s">
        <v>61</v>
      </c>
      <c r="U29" s="288" t="s">
        <v>61</v>
      </c>
      <c r="V29" s="288">
        <v>-6.3094972319285292E-3</v>
      </c>
      <c r="W29" s="289">
        <v>9.1963339360301433E-4</v>
      </c>
      <c r="X29" s="302">
        <v>-6.883364592430774E-3</v>
      </c>
      <c r="Y29" s="288">
        <v>-6.2798839007968121E-3</v>
      </c>
      <c r="Z29" s="288"/>
      <c r="AA29" s="288">
        <v>-1.5289575289574864E-2</v>
      </c>
      <c r="AB29" s="288">
        <v>-4.789184584924544E-2</v>
      </c>
      <c r="AC29" s="289">
        <v>-1.8424737938708802E-2</v>
      </c>
      <c r="AD29" s="302">
        <v>3.1505880986548718E-5</v>
      </c>
      <c r="AE29" s="288">
        <v>2.0837974710164353E-2</v>
      </c>
      <c r="AF29" s="288">
        <v>1.032894217874869E-2</v>
      </c>
      <c r="AG29" s="288">
        <v>1.804123711340222E-2</v>
      </c>
      <c r="AH29" s="288">
        <v>3.9577836411609502E-2</v>
      </c>
      <c r="AI29" s="289">
        <v>2.051282051282044E-2</v>
      </c>
      <c r="AJ29" s="302">
        <v>1.7412935323383172E-2</v>
      </c>
      <c r="AK29" s="288">
        <v>9.9750623441396957E-3</v>
      </c>
      <c r="AL29" s="288">
        <v>-1.0066626287098757E-2</v>
      </c>
      <c r="AM29" s="288">
        <v>1.6514387589222412E-2</v>
      </c>
      <c r="AN29" s="289">
        <v>5.0251256281406143E-3</v>
      </c>
      <c r="AO29" s="302">
        <v>-9.7799511002445438E-3</v>
      </c>
      <c r="AP29" s="288">
        <v>-7.4074074074074181E-3</v>
      </c>
      <c r="AQ29" s="288">
        <v>-1.0230179028132946E-2</v>
      </c>
      <c r="AR29" s="288">
        <v>-3.1218275415394459E-3</v>
      </c>
      <c r="AS29" s="289">
        <v>-8.1830469862651523E-3</v>
      </c>
      <c r="AT29" s="302">
        <v>-2.4691358024691024E-3</v>
      </c>
      <c r="AU29" s="288">
        <v>0</v>
      </c>
      <c r="AV29" s="288">
        <v>2E-3</v>
      </c>
      <c r="AW29" s="288">
        <v>1E-3</v>
      </c>
      <c r="AX29" s="289">
        <v>1E-3</v>
      </c>
      <c r="AY29" s="302">
        <v>-9.9009900990099098E-3</v>
      </c>
      <c r="AZ29" s="288">
        <v>-4.9751243781093191E-3</v>
      </c>
      <c r="BA29" s="288">
        <v>-5.7319587628865704E-3</v>
      </c>
      <c r="BB29" s="288">
        <v>3.2499999999999973E-2</v>
      </c>
      <c r="BC29" s="289">
        <v>4.0377833753147971E-3</v>
      </c>
      <c r="BD29" s="302">
        <v>1.7500000000000071E-2</v>
      </c>
      <c r="BE29" s="288">
        <v>2.1000000000000001E-2</v>
      </c>
      <c r="BF29" s="288">
        <v>8.9999999999999993E-3</v>
      </c>
      <c r="BG29" s="288">
        <v>-7.2639225181598821E-3</v>
      </c>
      <c r="BH29" s="289">
        <v>1.1025062656641604E-2</v>
      </c>
      <c r="BI29" s="302">
        <v>-7.0000000000000001E-3</v>
      </c>
      <c r="BJ29" s="288">
        <v>-1.6E-2</v>
      </c>
      <c r="BK29" s="288">
        <v>3.7999999999999999E-2</v>
      </c>
      <c r="BL29" s="288">
        <v>7.0000000000000001E-3</v>
      </c>
      <c r="BM29" s="289">
        <v>5.0000000000000001E-3</v>
      </c>
      <c r="BN29" s="411">
        <v>1.0999999999999999E-2</v>
      </c>
      <c r="BO29" s="412">
        <v>4.2999999999999997E-2</v>
      </c>
      <c r="BP29" s="288">
        <v>1.9E-2</v>
      </c>
      <c r="BQ29" s="288">
        <f>BQ28/BL28-1</f>
        <v>5.1296699487262787E-2</v>
      </c>
      <c r="BR29" s="289">
        <f>BR28/BM28-1</f>
        <v>3.7631404360228604E-2</v>
      </c>
      <c r="BS29" s="302">
        <v>9.0999999999999998E-2</v>
      </c>
      <c r="BT29" s="288">
        <v>8.0206806457444296E-2</v>
      </c>
      <c r="BU29" s="288">
        <v>9.8210245252289288E-2</v>
      </c>
      <c r="BV29" s="288">
        <v>0.14213422399728937</v>
      </c>
      <c r="BW29" s="289">
        <f>BW28/BR28-1</f>
        <v>9.9104564065749745E-2</v>
      </c>
      <c r="BX29" s="302">
        <v>0.14225454994392933</v>
      </c>
      <c r="BY29" s="288">
        <v>0.17299999999999999</v>
      </c>
      <c r="BZ29" s="288">
        <f>BZ28/BU28-1</f>
        <v>0.16235476844080998</v>
      </c>
      <c r="CA29" s="288">
        <f>CA28/BV28-1</f>
        <v>0.11451950266516953</v>
      </c>
      <c r="CB29" s="289">
        <f>(CB17/CB6)/(BW17/BW6)-1</f>
        <v>0.15655089865040051</v>
      </c>
      <c r="CC29" s="302">
        <v>0.106</v>
      </c>
      <c r="CD29" s="288">
        <v>5.3999999999999999E-2</v>
      </c>
      <c r="CE29" s="288">
        <v>2.9000000000000001E-2</v>
      </c>
      <c r="CF29" s="288"/>
      <c r="CG29" s="289"/>
      <c r="CI29" s="496"/>
    </row>
    <row r="30" spans="1:87">
      <c r="A30" s="294" t="s">
        <v>7</v>
      </c>
      <c r="B30" s="315">
        <f>B19/B8</f>
        <v>2.9593098120010297</v>
      </c>
      <c r="C30" s="317">
        <v>2.8897243107769426</v>
      </c>
      <c r="D30" s="108">
        <v>2.9269449715370017</v>
      </c>
      <c r="E30" s="108">
        <v>3.0242214532871974</v>
      </c>
      <c r="F30" s="108">
        <v>2.7645764576457643</v>
      </c>
      <c r="G30" s="324">
        <v>2.9103906050548893</v>
      </c>
      <c r="H30" s="319">
        <v>2.9659090909090908</v>
      </c>
      <c r="I30" s="110">
        <v>2.9862660944206008</v>
      </c>
      <c r="J30" s="110">
        <v>2.9445910290237469</v>
      </c>
      <c r="K30" s="110">
        <v>2.7009966777408638</v>
      </c>
      <c r="L30" s="109">
        <v>2.9059294470853141</v>
      </c>
      <c r="M30" s="324">
        <v>2.9059294470853141</v>
      </c>
      <c r="N30" s="317">
        <v>2.8866498740554154</v>
      </c>
      <c r="O30" s="108">
        <v>2.9411223551057954</v>
      </c>
      <c r="P30" s="108">
        <v>2.9947414548641542</v>
      </c>
      <c r="Q30" s="108">
        <v>2.8203723986856533</v>
      </c>
      <c r="R30" s="324">
        <v>2.9176620076238882</v>
      </c>
      <c r="S30" s="317">
        <v>2.8866498740554154</v>
      </c>
      <c r="T30" s="108">
        <v>2.9411223551057954</v>
      </c>
      <c r="U30" s="108">
        <v>2.9947414548641524</v>
      </c>
      <c r="V30" s="108">
        <v>2.8203723986856519</v>
      </c>
      <c r="W30" s="324">
        <v>2.9176620076238882</v>
      </c>
      <c r="X30" s="319">
        <v>2.828125</v>
      </c>
      <c r="Y30" s="110">
        <v>2.9241706161137442</v>
      </c>
      <c r="Z30" s="110">
        <v>2.8837081733406476</v>
      </c>
      <c r="AA30" s="110">
        <v>2.9723461195361285</v>
      </c>
      <c r="AB30" s="110">
        <v>2.8487297921478061</v>
      </c>
      <c r="AC30" s="324">
        <v>2.9018372703412072</v>
      </c>
      <c r="AD30" s="319">
        <v>2.9314285714285711</v>
      </c>
      <c r="AE30" s="110">
        <v>2.9860418743768693</v>
      </c>
      <c r="AF30" s="110">
        <v>2.96</v>
      </c>
      <c r="AG30" s="110">
        <v>3.03</v>
      </c>
      <c r="AH30" s="110">
        <v>2.8041002277904328</v>
      </c>
      <c r="AI30" s="324">
        <v>2.9419480881942501</v>
      </c>
      <c r="AJ30" s="317">
        <v>2.870603015075377</v>
      </c>
      <c r="AK30" s="108">
        <v>2.92</v>
      </c>
      <c r="AL30" s="108">
        <v>2.93</v>
      </c>
      <c r="AM30" s="108">
        <v>2.7445589919816724</v>
      </c>
      <c r="AN30" s="324">
        <v>2.8835489833641406</v>
      </c>
      <c r="AO30" s="317">
        <v>2.7632552404438964</v>
      </c>
      <c r="AP30" s="108">
        <v>2.82</v>
      </c>
      <c r="AQ30" s="108">
        <v>2.99</v>
      </c>
      <c r="AR30" s="108">
        <v>2.774585635359117</v>
      </c>
      <c r="AS30" s="324">
        <v>2.853194263363755</v>
      </c>
      <c r="AT30" s="317">
        <v>2.9</v>
      </c>
      <c r="AU30" s="108">
        <v>2.96</v>
      </c>
      <c r="AV30" s="108">
        <v>3.1</v>
      </c>
      <c r="AW30" s="108">
        <v>2.87</v>
      </c>
      <c r="AX30" s="324">
        <v>2.98</v>
      </c>
      <c r="AY30" s="317">
        <v>2.92</v>
      </c>
      <c r="AZ30" s="108">
        <v>3</v>
      </c>
      <c r="BA30" s="108">
        <v>3.13</v>
      </c>
      <c r="BB30" s="108">
        <v>3.04</v>
      </c>
      <c r="BC30" s="324">
        <v>3.05</v>
      </c>
      <c r="BD30" s="317">
        <v>2.98</v>
      </c>
      <c r="BE30" s="108">
        <v>3.08</v>
      </c>
      <c r="BF30" s="108">
        <v>3.27</v>
      </c>
      <c r="BG30" s="108">
        <v>3.1</v>
      </c>
      <c r="BH30" s="324">
        <v>3.14</v>
      </c>
      <c r="BI30" s="317">
        <v>2.8</v>
      </c>
      <c r="BJ30" s="108">
        <v>2.74</v>
      </c>
      <c r="BK30" s="108">
        <v>3.08</v>
      </c>
      <c r="BL30" s="108">
        <v>2.74</v>
      </c>
      <c r="BM30" s="324">
        <v>2.84</v>
      </c>
      <c r="BN30" s="417">
        <v>2.93</v>
      </c>
      <c r="BO30" s="418">
        <v>3.15</v>
      </c>
      <c r="BP30" s="108">
        <v>3.49</v>
      </c>
      <c r="BQ30" s="108">
        <v>3.305714285714286</v>
      </c>
      <c r="BR30" s="324">
        <v>3.286642599277978</v>
      </c>
      <c r="BS30" s="317">
        <v>3.31</v>
      </c>
      <c r="BT30" s="108">
        <v>3.4357638888888888</v>
      </c>
      <c r="BU30" s="108">
        <v>3.7210526315789472</v>
      </c>
      <c r="BV30" s="108">
        <v>3.7538994800693239</v>
      </c>
      <c r="BW30" s="324">
        <v>3.5916875522138678</v>
      </c>
      <c r="BX30" s="317">
        <v>4.109670987038883</v>
      </c>
      <c r="BY30" s="108">
        <v>4.33</v>
      </c>
      <c r="BZ30" s="108">
        <v>4.5822393822393819</v>
      </c>
      <c r="CA30" s="108">
        <f>CA19/CA8</f>
        <v>4.4658493870402785</v>
      </c>
      <c r="CB30" s="324">
        <f>CB19/CB8</f>
        <v>4.4343949044585989</v>
      </c>
      <c r="CC30" s="317">
        <v>4.5940000000000003</v>
      </c>
      <c r="CD30" s="108">
        <v>4.79</v>
      </c>
      <c r="CE30" s="108">
        <v>5.09</v>
      </c>
      <c r="CF30" s="71"/>
      <c r="CG30" s="301"/>
      <c r="CI30" s="90"/>
    </row>
    <row r="31" spans="1:87">
      <c r="A31" s="295" t="s">
        <v>141</v>
      </c>
      <c r="B31" s="288"/>
      <c r="C31" s="302">
        <v>6.8725821522448438E-3</v>
      </c>
      <c r="D31" s="288">
        <v>-1.7803700826509505E-2</v>
      </c>
      <c r="E31" s="288">
        <v>-2.1287555570486227E-2</v>
      </c>
      <c r="F31" s="288">
        <v>-2.3117859489129255E-2</v>
      </c>
      <c r="G31" s="289">
        <v>-1.653061357339336E-2</v>
      </c>
      <c r="H31" s="302">
        <v>2.6364030592131105E-2</v>
      </c>
      <c r="I31" s="288">
        <v>2.0267249114850339E-2</v>
      </c>
      <c r="J31" s="288">
        <v>-2.6330883995580256E-2</v>
      </c>
      <c r="K31" s="288">
        <v>-2.2998018278374222E-2</v>
      </c>
      <c r="L31" s="287">
        <v>-1.5328382251601491E-3</v>
      </c>
      <c r="M31" s="289">
        <v>-1.5328382251601491E-3</v>
      </c>
      <c r="N31" s="302">
        <v>-2.6723414111584076E-2</v>
      </c>
      <c r="O31" s="288">
        <v>-1.5117118799007789E-2</v>
      </c>
      <c r="P31" s="288">
        <v>1.7031372216410823E-2</v>
      </c>
      <c r="Q31" s="288">
        <v>4.4196915134540715E-2</v>
      </c>
      <c r="R31" s="289">
        <v>4.0374554001447738E-3</v>
      </c>
      <c r="S31" s="302" t="s">
        <v>61</v>
      </c>
      <c r="T31" s="288" t="s">
        <v>61</v>
      </c>
      <c r="U31" s="288" t="s">
        <v>61</v>
      </c>
      <c r="V31" s="288">
        <v>2.7623165297401497E-2</v>
      </c>
      <c r="W31" s="289">
        <v>4.0374554001447738E-3</v>
      </c>
      <c r="X31" s="302">
        <v>-2.0274323734729371E-2</v>
      </c>
      <c r="Y31" s="288">
        <v>-5.7636973050859686E-3</v>
      </c>
      <c r="Z31" s="288"/>
      <c r="AA31" s="288">
        <v>-7.4782199617428047E-3</v>
      </c>
      <c r="AB31" s="288">
        <v>1.0054485526581169E-2</v>
      </c>
      <c r="AC31" s="289">
        <v>-5.4237732956492479E-3</v>
      </c>
      <c r="AD31" s="302">
        <v>3.6527229676400763E-2</v>
      </c>
      <c r="AE31" s="288">
        <v>2.1158566440063753E-2</v>
      </c>
      <c r="AF31" s="288">
        <v>2.6456153699828677E-2</v>
      </c>
      <c r="AG31" s="288">
        <v>2.020202020202011E-2</v>
      </c>
      <c r="AH31" s="288">
        <v>-1.7543859649122862E-2</v>
      </c>
      <c r="AI31" s="289">
        <v>1.379310344827589E-2</v>
      </c>
      <c r="AJ31" s="302">
        <v>-2.0477815699658675E-2</v>
      </c>
      <c r="AK31" s="288">
        <v>-1.3513513513513487E-2</v>
      </c>
      <c r="AL31" s="288">
        <v>-3.3003300330032848E-2</v>
      </c>
      <c r="AM31" s="288">
        <v>-2.123363324130445E-2</v>
      </c>
      <c r="AN31" s="289">
        <v>-2.0408163265306145E-2</v>
      </c>
      <c r="AO31" s="302">
        <v>-3.832752613240431E-2</v>
      </c>
      <c r="AP31" s="288">
        <v>-3.4246575342465779E-2</v>
      </c>
      <c r="AQ31" s="288">
        <v>2.0477815699658786E-2</v>
      </c>
      <c r="AR31" s="288">
        <v>1.0940425571164036E-2</v>
      </c>
      <c r="AS31" s="289">
        <v>-1.0526861230902962E-2</v>
      </c>
      <c r="AT31" s="302">
        <v>4.9486836233824105E-2</v>
      </c>
      <c r="AU31" s="288">
        <v>4.9645390070921946E-2</v>
      </c>
      <c r="AV31" s="288">
        <v>3.6789297658862852E-2</v>
      </c>
      <c r="AW31" s="288">
        <v>3.5000000000000003E-2</v>
      </c>
      <c r="AX31" s="289">
        <v>4.2999999999999997E-2</v>
      </c>
      <c r="AY31" s="302">
        <v>8.0000000000000002E-3</v>
      </c>
      <c r="AZ31" s="288">
        <v>1.4513513513513598E-2</v>
      </c>
      <c r="BA31" s="288">
        <v>8.677419354838567E-3</v>
      </c>
      <c r="BB31" s="288">
        <v>5.8233449477351873E-2</v>
      </c>
      <c r="BC31" s="289">
        <v>2.3489932885905951E-2</v>
      </c>
      <c r="BD31" s="302">
        <v>0.02</v>
      </c>
      <c r="BE31" s="288">
        <v>2.7666666666666617E-2</v>
      </c>
      <c r="BF31" s="288">
        <v>4.2999999999999997E-2</v>
      </c>
      <c r="BG31" s="288">
        <v>1.9E-2</v>
      </c>
      <c r="BH31" s="289">
        <v>2.9508196721311553E-2</v>
      </c>
      <c r="BI31" s="302">
        <v>-6.0999999999999999E-2</v>
      </c>
      <c r="BJ31" s="288">
        <v>-0.11</v>
      </c>
      <c r="BK31" s="288">
        <v>-5.6000000000000001E-2</v>
      </c>
      <c r="BL31" s="288">
        <v>-0.11700000000000001</v>
      </c>
      <c r="BM31" s="289">
        <v>-9.4E-2</v>
      </c>
      <c r="BN31" s="411">
        <v>4.5999999999999999E-2</v>
      </c>
      <c r="BO31" s="412">
        <v>0.14899999999999999</v>
      </c>
      <c r="BP31" s="288">
        <v>0.13100000000000001</v>
      </c>
      <c r="BQ31" s="288">
        <f>BQ30/BL30-1</f>
        <v>0.20646506777893636</v>
      </c>
      <c r="BR31" s="289">
        <f>BR30/BM30-1</f>
        <v>0.15726852087252752</v>
      </c>
      <c r="BS31" s="302">
        <v>0.13100000000000001</v>
      </c>
      <c r="BT31" s="288">
        <v>9.0238242002807251E-2</v>
      </c>
      <c r="BU31" s="288">
        <v>6.7493151203746909E-2</v>
      </c>
      <c r="BV31" s="288">
        <v>0.13557892655511083</v>
      </c>
      <c r="BW31" s="289">
        <f>BW30/BR30-1</f>
        <v>9.2813545653824159E-2</v>
      </c>
      <c r="BX31" s="302">
        <v>0.24194034347695076</v>
      </c>
      <c r="BY31" s="288">
        <v>0.26200000000000001</v>
      </c>
      <c r="BZ31" s="288">
        <f>BZ30/BU30-1</f>
        <v>0.23143632620294574</v>
      </c>
      <c r="CA31" s="288">
        <f>CA30/BV30-1</f>
        <v>0.1896560924848758</v>
      </c>
      <c r="CB31" s="289">
        <f>(CB19/CB8)/(BW19/BW8)-1</f>
        <v>0.23462713278756619</v>
      </c>
      <c r="CC31" s="302">
        <v>0.11799999999999999</v>
      </c>
      <c r="CD31" s="288">
        <v>0.106</v>
      </c>
      <c r="CE31" s="288">
        <v>0.112</v>
      </c>
      <c r="CF31" s="288"/>
      <c r="CG31" s="289"/>
      <c r="CI31" s="496"/>
    </row>
    <row r="32" spans="1:87">
      <c r="A32" s="294" t="s">
        <v>15</v>
      </c>
      <c r="B32" s="315">
        <f>B21/B10</f>
        <v>2.6303049690765623</v>
      </c>
      <c r="C32" s="317">
        <v>2.6656457376212357</v>
      </c>
      <c r="D32" s="108">
        <v>2.9970930232558137</v>
      </c>
      <c r="E32" s="108">
        <v>2.9219545300305398</v>
      </c>
      <c r="F32" s="108">
        <v>2.7235844850646451</v>
      </c>
      <c r="G32" s="324">
        <v>2.8471871528128476</v>
      </c>
      <c r="H32" s="319">
        <v>2.7762896825396828</v>
      </c>
      <c r="I32" s="110">
        <v>2.9087093389296959</v>
      </c>
      <c r="J32" s="110">
        <v>2.9820512820512821</v>
      </c>
      <c r="K32" s="110">
        <v>3.041573535985695</v>
      </c>
      <c r="L32" s="109">
        <v>2.9321276163381427</v>
      </c>
      <c r="M32" s="324">
        <v>2.9028946828166697</v>
      </c>
      <c r="N32" s="317">
        <v>3.0275650842266462</v>
      </c>
      <c r="O32" s="108">
        <v>3.2200547570157427</v>
      </c>
      <c r="P32" s="108">
        <v>3.2447720260541653</v>
      </c>
      <c r="Q32" s="108">
        <v>3.2125556902278896</v>
      </c>
      <c r="R32" s="324">
        <v>3.1884245241738198</v>
      </c>
      <c r="S32" s="317">
        <v>3.0041152263374484</v>
      </c>
      <c r="T32" s="108">
        <v>3.1829478771142563</v>
      </c>
      <c r="U32" s="108">
        <v>3.2040958000694224</v>
      </c>
      <c r="V32" s="108">
        <v>3.1953255425709517</v>
      </c>
      <c r="W32" s="324">
        <v>3.1575410160110695</v>
      </c>
      <c r="X32" s="319">
        <v>3.0971153846153849</v>
      </c>
      <c r="Y32" s="110">
        <v>3.2015609093993893</v>
      </c>
      <c r="Z32" s="110">
        <v>3.1583449373383727</v>
      </c>
      <c r="AA32" s="110">
        <v>3.1227060093558836</v>
      </c>
      <c r="AB32" s="110">
        <v>3.1143777688280303</v>
      </c>
      <c r="AC32" s="324">
        <v>3.138108659733696</v>
      </c>
      <c r="AD32" s="319">
        <v>2.8708593374939988</v>
      </c>
      <c r="AE32" s="110">
        <v>2.9835491774588729</v>
      </c>
      <c r="AF32" s="110">
        <v>2.94</v>
      </c>
      <c r="AG32" s="110">
        <v>3.05</v>
      </c>
      <c r="AH32" s="110">
        <v>2.7558777429467085</v>
      </c>
      <c r="AI32" s="324">
        <v>2.9213133864387015</v>
      </c>
      <c r="AJ32" s="317">
        <v>2.5489494859186412</v>
      </c>
      <c r="AK32" s="108">
        <v>2.66</v>
      </c>
      <c r="AL32" s="108">
        <v>2.59</v>
      </c>
      <c r="AM32" s="108">
        <v>2.5859564164648909</v>
      </c>
      <c r="AN32" s="324">
        <v>2.6236283747389084</v>
      </c>
      <c r="AO32" s="317">
        <v>2.4653421633554085</v>
      </c>
      <c r="AP32" s="108">
        <v>2.5299999999999998</v>
      </c>
      <c r="AQ32" s="108">
        <v>2.5499999999999998</v>
      </c>
      <c r="AR32" s="108">
        <v>2.5627899284088489</v>
      </c>
      <c r="AS32" s="324">
        <v>2.5444883298536718</v>
      </c>
      <c r="AT32" s="317">
        <v>2.67</v>
      </c>
      <c r="AU32" s="108">
        <v>2.73</v>
      </c>
      <c r="AV32" s="108">
        <v>2.6</v>
      </c>
      <c r="AW32" s="108">
        <v>2.57</v>
      </c>
      <c r="AX32" s="324">
        <v>2.66</v>
      </c>
      <c r="AY32" s="317">
        <v>2.4500000000000002</v>
      </c>
      <c r="AZ32" s="108">
        <v>2.5099999999999998</v>
      </c>
      <c r="BA32" s="108">
        <v>2.5299999999999998</v>
      </c>
      <c r="BB32" s="108">
        <v>2.5299999999999998</v>
      </c>
      <c r="BC32" s="324">
        <v>2.52</v>
      </c>
      <c r="BD32" s="317">
        <v>2.46</v>
      </c>
      <c r="BE32" s="108">
        <v>2.54</v>
      </c>
      <c r="BF32" s="108">
        <v>2.7</v>
      </c>
      <c r="BG32" s="108">
        <v>2.65</v>
      </c>
      <c r="BH32" s="324">
        <v>2.61</v>
      </c>
      <c r="BI32" s="317">
        <v>2.4300000000000002</v>
      </c>
      <c r="BJ32" s="108">
        <v>2.39</v>
      </c>
      <c r="BK32" s="108">
        <v>2.41</v>
      </c>
      <c r="BL32" s="108">
        <v>2.2200000000000002</v>
      </c>
      <c r="BM32" s="324">
        <v>2.35</v>
      </c>
      <c r="BN32" s="417">
        <v>2.17</v>
      </c>
      <c r="BO32" s="418">
        <v>2.2599999999999998</v>
      </c>
      <c r="BP32" s="108">
        <v>2.46</v>
      </c>
      <c r="BQ32" s="108">
        <v>2.4426979136896261</v>
      </c>
      <c r="BR32" s="324">
        <v>2.361827613159952</v>
      </c>
      <c r="BS32" s="317">
        <v>2.2999999999999998</v>
      </c>
      <c r="BT32" s="108">
        <v>2.5615161818410779</v>
      </c>
      <c r="BU32" s="108">
        <v>3.0678045358896422</v>
      </c>
      <c r="BV32" s="108">
        <v>3.1538252109991833</v>
      </c>
      <c r="BW32" s="324">
        <v>2.8346863004216227</v>
      </c>
      <c r="BX32" s="317">
        <v>2.8489189893201359</v>
      </c>
      <c r="BY32" s="108">
        <v>2.84</v>
      </c>
      <c r="BZ32" s="108">
        <v>2.6324804398392896</v>
      </c>
      <c r="CA32" s="108">
        <f>CA21/CA10</f>
        <v>2.620798065296249</v>
      </c>
      <c r="CB32" s="324">
        <f>CB21/CB10</f>
        <v>2.7289434266620578</v>
      </c>
      <c r="CC32" s="317">
        <v>2.5299999999999998</v>
      </c>
      <c r="CD32" s="108">
        <v>2.64</v>
      </c>
      <c r="CE32" s="108">
        <v>2.75</v>
      </c>
      <c r="CF32" s="71"/>
      <c r="CG32" s="301"/>
      <c r="CI32" s="90"/>
    </row>
    <row r="33" spans="1:87">
      <c r="A33" s="295" t="s">
        <v>141</v>
      </c>
      <c r="B33" s="288"/>
      <c r="C33" s="302">
        <v>6.6258295048494231E-2</v>
      </c>
      <c r="D33" s="288">
        <v>0.11831829225963197</v>
      </c>
      <c r="E33" s="288">
        <v>6.2528920011105438E-2</v>
      </c>
      <c r="F33" s="288">
        <v>7.2277356324663478E-2</v>
      </c>
      <c r="G33" s="289">
        <v>8.2455147325531497E-2</v>
      </c>
      <c r="H33" s="302">
        <v>4.1507370374423092E-2</v>
      </c>
      <c r="I33" s="288">
        <v>-2.948980349969399E-2</v>
      </c>
      <c r="J33" s="288">
        <v>2.0567312531079684E-2</v>
      </c>
      <c r="K33" s="288">
        <v>0.11675387808412419</v>
      </c>
      <c r="L33" s="287">
        <v>2.9833115621282325E-2</v>
      </c>
      <c r="M33" s="289">
        <v>1.9565812506840752E-2</v>
      </c>
      <c r="N33" s="302">
        <v>9.0507630838112973E-2</v>
      </c>
      <c r="O33" s="288">
        <v>0.10703902721356506</v>
      </c>
      <c r="P33" s="288">
        <v>8.8100679416271976E-2</v>
      </c>
      <c r="Q33" s="288">
        <v>5.6215032192796777E-2</v>
      </c>
      <c r="R33" s="289">
        <v>8.7409874797932385E-2</v>
      </c>
      <c r="S33" s="302" t="s">
        <v>61</v>
      </c>
      <c r="T33" s="288" t="s">
        <v>61</v>
      </c>
      <c r="U33" s="288" t="s">
        <v>61</v>
      </c>
      <c r="V33" s="288">
        <v>0.235645551574722</v>
      </c>
      <c r="W33" s="289">
        <v>8.7721519730546094E-2</v>
      </c>
      <c r="X33" s="302">
        <v>3.09575869336145E-2</v>
      </c>
      <c r="Y33" s="288">
        <v>5.8477339258247163E-3</v>
      </c>
      <c r="Z33" s="288"/>
      <c r="AA33" s="288">
        <v>-2.5401796885029304E-2</v>
      </c>
      <c r="AB33" s="288">
        <v>-2.533318519958716E-2</v>
      </c>
      <c r="AC33" s="289">
        <v>-6.1542688373126264E-3</v>
      </c>
      <c r="AD33" s="302">
        <v>-7.3053799753567739E-2</v>
      </c>
      <c r="AE33" s="288">
        <v>-6.8095450347504194E-2</v>
      </c>
      <c r="AF33" s="288">
        <v>-6.9132707690369721E-2</v>
      </c>
      <c r="AG33" s="288">
        <v>-2.2435897435897578E-2</v>
      </c>
      <c r="AH33" s="288">
        <v>-0.112540192926045</v>
      </c>
      <c r="AI33" s="289">
        <v>-7.0063694267516019E-2</v>
      </c>
      <c r="AJ33" s="302">
        <v>-0.11149825783972134</v>
      </c>
      <c r="AK33" s="288">
        <v>-9.5238095238095122E-2</v>
      </c>
      <c r="AL33" s="288">
        <v>-0.15081967213114755</v>
      </c>
      <c r="AM33" s="288">
        <v>-6.1657788309625872E-2</v>
      </c>
      <c r="AN33" s="289">
        <v>-0.10273972602739723</v>
      </c>
      <c r="AO33" s="302">
        <v>-3.1372549019607732E-2</v>
      </c>
      <c r="AP33" s="288">
        <v>-4.8872180451127956E-2</v>
      </c>
      <c r="AQ33" s="288">
        <v>-1.5444015444015413E-2</v>
      </c>
      <c r="AR33" s="288">
        <v>-8.9585763737316526E-3</v>
      </c>
      <c r="AS33" s="289">
        <v>-3.0164350121846928E-2</v>
      </c>
      <c r="AT33" s="302">
        <v>8.3013968481375322E-2</v>
      </c>
      <c r="AU33" s="288">
        <v>7.8E-2</v>
      </c>
      <c r="AV33" s="288">
        <v>1.9607843137255054E-2</v>
      </c>
      <c r="AW33" s="288">
        <v>2.8133681622619644E-3</v>
      </c>
      <c r="AX33" s="289">
        <v>4.3999999999999997E-2</v>
      </c>
      <c r="AY33" s="302">
        <v>-8.3000000000000004E-2</v>
      </c>
      <c r="AZ33" s="288">
        <v>-0.08</v>
      </c>
      <c r="BA33" s="288">
        <v>-2.8923076923077051E-2</v>
      </c>
      <c r="BB33" s="288">
        <v>-1.6564202334630407E-2</v>
      </c>
      <c r="BC33" s="289">
        <v>-5.1631578947368473E-2</v>
      </c>
      <c r="BD33" s="302">
        <v>7.0000000000000001E-3</v>
      </c>
      <c r="BE33" s="288">
        <v>1.4E-2</v>
      </c>
      <c r="BF33" s="288">
        <v>6.6000000000000003E-2</v>
      </c>
      <c r="BG33" s="288">
        <v>4.9000000000000002E-2</v>
      </c>
      <c r="BH33" s="289">
        <v>3.6999999999999998E-2</v>
      </c>
      <c r="BI33" s="302">
        <v>-1.2999999999999999E-2</v>
      </c>
      <c r="BJ33" s="288">
        <v>-6.2E-2</v>
      </c>
      <c r="BK33" s="288">
        <v>-0.106</v>
      </c>
      <c r="BL33" s="288">
        <v>-0.16300000000000001</v>
      </c>
      <c r="BM33" s="289">
        <v>-0.10100000000000001</v>
      </c>
      <c r="BN33" s="411">
        <v>-0.107</v>
      </c>
      <c r="BO33" s="412">
        <v>-5.1999999999999998E-2</v>
      </c>
      <c r="BP33" s="288">
        <v>0.02</v>
      </c>
      <c r="BQ33" s="288">
        <f>BQ32/BL32-1</f>
        <v>0.10031437553586753</v>
      </c>
      <c r="BR33" s="289">
        <f>BR32/BM32-1</f>
        <v>5.0330268765752528E-3</v>
      </c>
      <c r="BS33" s="302">
        <v>5.8000000000000003E-2</v>
      </c>
      <c r="BT33" s="288">
        <v>0.13227060092741255</v>
      </c>
      <c r="BU33" s="288">
        <v>0.24875983524440604</v>
      </c>
      <c r="BV33" s="288">
        <v>0.29112371747819588</v>
      </c>
      <c r="BW33" s="289">
        <f>BW32/BR32-1</f>
        <v>0.20020880636119776</v>
      </c>
      <c r="BX33" s="302">
        <v>0.24056782665659732</v>
      </c>
      <c r="BY33" s="288">
        <v>0.107</v>
      </c>
      <c r="BZ33" s="288">
        <f>BZ32/BU32-1</f>
        <v>-0.14190085807540265</v>
      </c>
      <c r="CA33" s="488">
        <f>CA32/BV32-1</f>
        <v>-0.16900972946882575</v>
      </c>
      <c r="CB33" s="289">
        <f>(CB21/CB10)/(BW21/BW10)-1</f>
        <v>-3.7303201325605939E-2</v>
      </c>
      <c r="CC33" s="302">
        <v>-0.112</v>
      </c>
      <c r="CD33" s="288">
        <v>-7.0000000000000007E-2</v>
      </c>
      <c r="CE33" s="288">
        <v>4.3999999999999997E-2</v>
      </c>
      <c r="CF33" s="488"/>
      <c r="CG33" s="289"/>
      <c r="CI33" s="496"/>
    </row>
    <row r="34" spans="1:87">
      <c r="A34" s="314" t="s">
        <v>140</v>
      </c>
      <c r="B34" s="316">
        <f>B23/B12</f>
        <v>3.1622287730150291</v>
      </c>
      <c r="C34" s="318">
        <v>3.1941544885177451</v>
      </c>
      <c r="D34" s="82">
        <v>3.3277383630385873</v>
      </c>
      <c r="E34" s="82">
        <v>3.2737100737100735</v>
      </c>
      <c r="F34" s="82">
        <v>3.1111342351716962</v>
      </c>
      <c r="G34" s="325">
        <v>3.2350476190476192</v>
      </c>
      <c r="H34" s="320">
        <v>3.2644075610880585</v>
      </c>
      <c r="I34" s="80">
        <v>3.285643153526971</v>
      </c>
      <c r="J34" s="80">
        <v>3.3175176207667181</v>
      </c>
      <c r="K34" s="80">
        <v>3.2849162011173183</v>
      </c>
      <c r="L34" s="81">
        <v>3.2899587213209176</v>
      </c>
      <c r="M34" s="325">
        <v>3.2692823608316566</v>
      </c>
      <c r="N34" s="318">
        <v>3.3760282021151586</v>
      </c>
      <c r="O34" s="82">
        <v>3.411282051282051</v>
      </c>
      <c r="P34" s="82">
        <v>3.4281144781144786</v>
      </c>
      <c r="Q34" s="82">
        <v>3.3814040629778357</v>
      </c>
      <c r="R34" s="325">
        <v>3.402040945802276</v>
      </c>
      <c r="S34" s="318">
        <v>3.3569086651053865</v>
      </c>
      <c r="T34" s="82">
        <v>3.3851005796113198</v>
      </c>
      <c r="U34" s="82">
        <v>3.4008751262201278</v>
      </c>
      <c r="V34" s="82">
        <v>3.3650660515831419</v>
      </c>
      <c r="W34" s="325">
        <v>3.3792392190722884</v>
      </c>
      <c r="X34" s="320">
        <v>3.3557534567611902</v>
      </c>
      <c r="Y34" s="80">
        <v>3.3740695862904619</v>
      </c>
      <c r="Z34" s="80">
        <v>3.366288331342095</v>
      </c>
      <c r="AA34" s="80">
        <v>3.3361739130434782</v>
      </c>
      <c r="AB34" s="80">
        <v>3.2729162336312618</v>
      </c>
      <c r="AC34" s="325">
        <v>3.3360834748847368</v>
      </c>
      <c r="AD34" s="320">
        <v>3.2497558593749996</v>
      </c>
      <c r="AE34" s="80">
        <v>3.3036032821976451</v>
      </c>
      <c r="AF34" s="80">
        <v>3.28</v>
      </c>
      <c r="AG34" s="80">
        <v>3.32</v>
      </c>
      <c r="AH34" s="80">
        <v>3.1127602556173981</v>
      </c>
      <c r="AI34" s="325">
        <v>3.2503869389385387</v>
      </c>
      <c r="AJ34" s="318">
        <v>3.0826879271070622</v>
      </c>
      <c r="AK34" s="82">
        <v>3.13</v>
      </c>
      <c r="AL34" s="82">
        <v>3.06</v>
      </c>
      <c r="AM34" s="82">
        <v>3.0267345639719925</v>
      </c>
      <c r="AN34" s="325">
        <v>3.0881197226964678</v>
      </c>
      <c r="AO34" s="318">
        <v>2.9959053685168335</v>
      </c>
      <c r="AP34" s="82">
        <v>3.02</v>
      </c>
      <c r="AQ34" s="82">
        <v>3.04</v>
      </c>
      <c r="AR34" s="82">
        <v>3.0057388359912074</v>
      </c>
      <c r="AS34" s="325">
        <v>3.0219869705757278</v>
      </c>
      <c r="AT34" s="318">
        <v>3.11</v>
      </c>
      <c r="AU34" s="82">
        <v>3.15</v>
      </c>
      <c r="AV34" s="82">
        <v>3.08</v>
      </c>
      <c r="AW34" s="82">
        <v>3.02</v>
      </c>
      <c r="AX34" s="325">
        <v>3.1</v>
      </c>
      <c r="AY34" s="318">
        <v>2.99</v>
      </c>
      <c r="AZ34" s="82">
        <v>3.02</v>
      </c>
      <c r="BA34" s="82">
        <v>3.03</v>
      </c>
      <c r="BB34" s="82">
        <v>3.06</v>
      </c>
      <c r="BC34" s="325">
        <v>3.04</v>
      </c>
      <c r="BD34" s="318">
        <v>3.01</v>
      </c>
      <c r="BE34" s="82">
        <v>3.07</v>
      </c>
      <c r="BF34" s="82">
        <v>3.15</v>
      </c>
      <c r="BG34" s="82">
        <v>3.1</v>
      </c>
      <c r="BH34" s="325">
        <v>3.1</v>
      </c>
      <c r="BI34" s="318">
        <v>2.91</v>
      </c>
      <c r="BJ34" s="82">
        <v>2.86</v>
      </c>
      <c r="BK34" s="82">
        <v>2.98</v>
      </c>
      <c r="BL34" s="82">
        <v>2.77</v>
      </c>
      <c r="BM34" s="325">
        <v>2.87</v>
      </c>
      <c r="BN34" s="419">
        <v>2.75</v>
      </c>
      <c r="BO34" s="420">
        <v>2.88</v>
      </c>
      <c r="BP34" s="82">
        <v>3.06</v>
      </c>
      <c r="BQ34" s="82">
        <v>3.0351470091247057</v>
      </c>
      <c r="BR34" s="325">
        <v>2.9711112032163136</v>
      </c>
      <c r="BS34" s="318">
        <v>2.92</v>
      </c>
      <c r="BT34" s="82">
        <v>3.1648624267027512</v>
      </c>
      <c r="BU34" s="82">
        <v>3.5586798679867986</v>
      </c>
      <c r="BV34" s="82">
        <v>3.6737702291299472</v>
      </c>
      <c r="BW34" s="325">
        <v>3.3919905597757944</v>
      </c>
      <c r="BX34" s="318">
        <v>3.5461278377072936</v>
      </c>
      <c r="BY34" s="82">
        <v>3.63</v>
      </c>
      <c r="BZ34" s="82">
        <v>3.5631686194600101</v>
      </c>
      <c r="CA34" s="498">
        <f>CA23/CA12</f>
        <v>3.5442146282973606</v>
      </c>
      <c r="CB34" s="499">
        <f>CB23/CB12</f>
        <v>3.5916064186210543</v>
      </c>
      <c r="CC34" s="318">
        <v>3.52</v>
      </c>
      <c r="CD34" s="82">
        <v>3.63</v>
      </c>
      <c r="CE34" s="82">
        <v>3.73</v>
      </c>
      <c r="CF34" s="489"/>
      <c r="CG34" s="311"/>
      <c r="CI34" s="91"/>
    </row>
    <row r="35" spans="1:87" ht="14.5" thickBot="1">
      <c r="A35" s="297" t="s">
        <v>141</v>
      </c>
      <c r="B35" s="180"/>
      <c r="C35" s="31"/>
      <c r="D35" s="42">
        <v>4.3178170231532143E-2</v>
      </c>
      <c r="E35" s="42">
        <v>1.3532530560394385E-2</v>
      </c>
      <c r="F35" s="42">
        <v>1.010851791288836E-2</v>
      </c>
      <c r="G35" s="98">
        <v>2.3027697000922887E-2</v>
      </c>
      <c r="H35" s="31">
        <v>2.1994262589006608E-2</v>
      </c>
      <c r="I35" s="42">
        <v>-1.2649795422371768E-2</v>
      </c>
      <c r="J35" s="42">
        <v>1.3381620873652356E-2</v>
      </c>
      <c r="K35" s="42">
        <v>5.5858073875758585E-2</v>
      </c>
      <c r="L35" s="96">
        <v>1.6973815763943412E-2</v>
      </c>
      <c r="M35" s="98">
        <v>1.0582453742710607E-2</v>
      </c>
      <c r="N35" s="31">
        <v>3.4193230758813753E-2</v>
      </c>
      <c r="O35" s="42">
        <v>3.8238753231681022E-2</v>
      </c>
      <c r="P35" s="42">
        <v>3.3337232831999408E-2</v>
      </c>
      <c r="Q35" s="42">
        <v>2.9373005566381893E-2</v>
      </c>
      <c r="R35" s="98">
        <v>3.4067972876072217E-2</v>
      </c>
      <c r="S35" s="31" t="s">
        <v>61</v>
      </c>
      <c r="T35" s="42" t="s">
        <v>61</v>
      </c>
      <c r="U35" s="42" t="s">
        <v>61</v>
      </c>
      <c r="V35" s="42">
        <v>0.11178102356195918</v>
      </c>
      <c r="W35" s="98">
        <v>3.3633331754391538E-2</v>
      </c>
      <c r="X35" s="31">
        <v>-3.4412861934685068E-4</v>
      </c>
      <c r="Y35" s="42">
        <v>-3.2586899743239917E-3</v>
      </c>
      <c r="Z35" s="42"/>
      <c r="AA35" s="42">
        <v>-1.9024871768391294E-2</v>
      </c>
      <c r="AB35" s="42">
        <v>-2.7384252356213556E-2</v>
      </c>
      <c r="AC35" s="98">
        <v>-1.2770846154951832E-2</v>
      </c>
      <c r="AD35" s="31">
        <v>-3.158682506088939E-2</v>
      </c>
      <c r="AE35" s="42">
        <v>-2.0884662361184247E-2</v>
      </c>
      <c r="AF35" s="42">
        <v>-2.5633077992369468E-2</v>
      </c>
      <c r="AG35" s="42">
        <v>-5.9880239520958556E-3</v>
      </c>
      <c r="AH35" s="42">
        <v>-4.8929663608562768E-2</v>
      </c>
      <c r="AI35" s="98">
        <v>-2.6946107784431073E-2</v>
      </c>
      <c r="AJ35" s="31">
        <v>-5.2307692307692277E-2</v>
      </c>
      <c r="AK35" s="42">
        <v>-4.57317073170731E-2</v>
      </c>
      <c r="AL35" s="42">
        <v>-7.8313253012048167E-2</v>
      </c>
      <c r="AM35" s="42">
        <v>-2.7636465574295555E-2</v>
      </c>
      <c r="AN35" s="98">
        <v>-4.92307692307693E-2</v>
      </c>
      <c r="AO35" s="31">
        <v>-2.5974025974025983E-2</v>
      </c>
      <c r="AP35" s="42">
        <v>-3.5143769968051131E-2</v>
      </c>
      <c r="AQ35" s="42">
        <v>-6.5359477124182774E-3</v>
      </c>
      <c r="AR35" s="42">
        <v>-6.9367589185727052E-3</v>
      </c>
      <c r="AS35" s="98">
        <v>-2.1415216396790004E-2</v>
      </c>
      <c r="AT35" s="31">
        <v>3.808352315869401E-2</v>
      </c>
      <c r="AU35" s="42">
        <v>4.2000000000000003E-2</v>
      </c>
      <c r="AV35" s="42">
        <v>1.4999999999999999E-2</v>
      </c>
      <c r="AW35" s="42">
        <v>4.7446450895956005E-3</v>
      </c>
      <c r="AX35" s="98">
        <v>2.5815144202759432E-2</v>
      </c>
      <c r="AY35" s="31">
        <v>-0.04</v>
      </c>
      <c r="AZ35" s="42">
        <v>-3.9E-2</v>
      </c>
      <c r="BA35" s="42">
        <v>-1.6233766233766267E-2</v>
      </c>
      <c r="BB35" s="42">
        <v>1.5245033112582849E-2</v>
      </c>
      <c r="BC35" s="98">
        <v>-2.035483870967747E-2</v>
      </c>
      <c r="BD35" s="31">
        <v>8.0000000000000002E-3</v>
      </c>
      <c r="BE35" s="42">
        <v>1.7000000000000001E-2</v>
      </c>
      <c r="BF35" s="42">
        <v>3.7999999999999999E-2</v>
      </c>
      <c r="BG35" s="42">
        <v>1.3071895424836555E-2</v>
      </c>
      <c r="BH35" s="98">
        <v>2.1999999999999999E-2</v>
      </c>
      <c r="BI35" s="31">
        <v>-3.3000000000000002E-2</v>
      </c>
      <c r="BJ35" s="42">
        <v>-7.0000000000000007E-2</v>
      </c>
      <c r="BK35" s="42">
        <f>BK34/BF34-1</f>
        <v>-5.3968253968253999E-2</v>
      </c>
      <c r="BL35" s="42">
        <v>-0.108</v>
      </c>
      <c r="BM35" s="98">
        <v>-7.4999999999999997E-2</v>
      </c>
      <c r="BN35" s="415">
        <v>-5.3999999999999999E-2</v>
      </c>
      <c r="BO35" s="416">
        <v>8.9999999999999993E-3</v>
      </c>
      <c r="BP35" s="42">
        <f>BP34/BK34-1</f>
        <v>2.6845637583892579E-2</v>
      </c>
      <c r="BQ35" s="42">
        <v>-0.108</v>
      </c>
      <c r="BR35" s="98">
        <f>BR34/BM34-1</f>
        <v>3.5230384395928072E-2</v>
      </c>
      <c r="BS35" s="31">
        <v>6.2E-2</v>
      </c>
      <c r="BT35" s="42">
        <v>9.7894176595951246E-2</v>
      </c>
      <c r="BU35" s="42">
        <v>0.16294099908507997</v>
      </c>
      <c r="BV35" s="42">
        <v>0.2104093205651385</v>
      </c>
      <c r="BW35" s="98">
        <f>BW34/BR34-1</f>
        <v>0.14165722107737566</v>
      </c>
      <c r="BX35" s="31">
        <v>0.2126167084948134</v>
      </c>
      <c r="BY35" s="42">
        <v>0.14699999999999999</v>
      </c>
      <c r="BZ35" s="42">
        <f>BZ34/BU34-1</f>
        <v>1.2613529847378402E-3</v>
      </c>
      <c r="CA35" s="42">
        <f t="shared" ref="CA35" si="27">CA34/BV34-1</f>
        <v>-3.5265025505764713E-2</v>
      </c>
      <c r="CB35" s="98">
        <f>(CB23/CB12)/(BW23/BW12)-1</f>
        <v>5.8849178772022892E-2</v>
      </c>
      <c r="CC35" s="31">
        <v>-7.9706797128977682E-3</v>
      </c>
      <c r="CD35" s="42">
        <v>-1E-3</v>
      </c>
      <c r="CE35" s="42">
        <v>4.7E-2</v>
      </c>
      <c r="CF35" s="42"/>
      <c r="CG35" s="98"/>
      <c r="CI35" s="496"/>
    </row>
    <row r="36" spans="1:87" ht="14.5" thickBot="1">
      <c r="B36" s="77"/>
      <c r="C36" s="77"/>
      <c r="D36" s="77"/>
      <c r="E36" s="77"/>
      <c r="F36" s="77"/>
      <c r="G36" s="77"/>
      <c r="H36" s="321"/>
      <c r="I36" s="322"/>
      <c r="J36" s="322"/>
      <c r="K36" s="322"/>
      <c r="L36" s="322"/>
      <c r="M36" s="323"/>
      <c r="N36" s="77"/>
      <c r="O36" s="77"/>
      <c r="P36" s="77"/>
      <c r="Q36" s="77"/>
      <c r="R36" s="77"/>
      <c r="S36" s="77"/>
      <c r="T36" s="77"/>
      <c r="U36" s="77"/>
      <c r="V36" s="77"/>
      <c r="W36" s="77"/>
      <c r="X36" s="77"/>
      <c r="AB36" s="77"/>
      <c r="AC36" s="77"/>
      <c r="AD36" s="77"/>
      <c r="AH36" s="77"/>
      <c r="AI36" s="77"/>
      <c r="AJ36" s="77"/>
      <c r="AO36" s="70"/>
      <c r="AP36" s="70"/>
      <c r="AQ36" s="70"/>
      <c r="AR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V36" s="70"/>
      <c r="CC36" s="90"/>
      <c r="CD36" s="90"/>
    </row>
    <row r="37" spans="1:87" s="94" customFormat="1" ht="20.149999999999999" customHeight="1">
      <c r="A37" s="527" t="s">
        <v>156</v>
      </c>
      <c r="B37" s="306">
        <v>2009</v>
      </c>
      <c r="C37" s="298">
        <f>$C$4</f>
        <v>2010</v>
      </c>
      <c r="D37" s="93"/>
      <c r="E37" s="93"/>
      <c r="F37" s="93"/>
      <c r="G37" s="93"/>
      <c r="H37" s="298">
        <f>$H$4</f>
        <v>2011</v>
      </c>
      <c r="I37" s="93"/>
      <c r="J37" s="93"/>
      <c r="K37" s="93"/>
      <c r="L37" s="93"/>
      <c r="M37" s="299"/>
      <c r="N37" s="298">
        <f>$N$4</f>
        <v>2012</v>
      </c>
      <c r="O37" s="93"/>
      <c r="P37" s="93"/>
      <c r="Q37" s="93"/>
      <c r="R37" s="299"/>
      <c r="S37" s="298" t="str">
        <f>$S$4</f>
        <v>2012*</v>
      </c>
      <c r="T37" s="93"/>
      <c r="U37" s="93"/>
      <c r="V37" s="93"/>
      <c r="W37" s="299"/>
      <c r="X37" s="312" t="str">
        <f>X26</f>
        <v>2013</v>
      </c>
      <c r="Y37" s="93"/>
      <c r="Z37" s="93"/>
      <c r="AA37" s="93"/>
      <c r="AB37" s="93"/>
      <c r="AC37" s="299"/>
      <c r="AD37" s="312" t="str">
        <f>AD26</f>
        <v>2014</v>
      </c>
      <c r="AE37" s="93"/>
      <c r="AF37" s="93"/>
      <c r="AG37" s="93"/>
      <c r="AH37" s="93"/>
      <c r="AI37" s="299"/>
      <c r="AJ37" s="298">
        <v>2015</v>
      </c>
      <c r="AK37" s="93"/>
      <c r="AL37" s="93"/>
      <c r="AM37" s="93"/>
      <c r="AN37" s="299"/>
      <c r="AO37" s="298">
        <v>2016</v>
      </c>
      <c r="AP37" s="93"/>
      <c r="AQ37" s="93"/>
      <c r="AR37" s="93"/>
      <c r="AS37" s="299"/>
      <c r="AT37" s="298">
        <v>2017</v>
      </c>
      <c r="AU37" s="93"/>
      <c r="AV37" s="93"/>
      <c r="AW37" s="93"/>
      <c r="AX37" s="299"/>
      <c r="AY37" s="298">
        <v>2018</v>
      </c>
      <c r="AZ37" s="93"/>
      <c r="BA37" s="93"/>
      <c r="BB37" s="93"/>
      <c r="BC37" s="299"/>
      <c r="BD37" s="298">
        <v>2019</v>
      </c>
      <c r="BE37" s="93"/>
      <c r="BF37" s="93"/>
      <c r="BG37" s="93"/>
      <c r="BH37" s="299"/>
      <c r="BI37" s="298">
        <v>2020</v>
      </c>
      <c r="BJ37" s="93"/>
      <c r="BK37" s="93"/>
      <c r="BL37" s="93"/>
      <c r="BM37" s="299"/>
      <c r="BN37" s="298">
        <v>2021</v>
      </c>
      <c r="BO37" s="93"/>
      <c r="BP37" s="93"/>
      <c r="BQ37" s="93"/>
      <c r="BR37" s="299"/>
      <c r="CC37" s="90"/>
      <c r="CD37" s="90"/>
    </row>
    <row r="38" spans="1:87" s="95" customFormat="1" ht="20.9" customHeight="1">
      <c r="A38" s="528"/>
      <c r="B38" s="307" t="s">
        <v>120</v>
      </c>
      <c r="C38" s="300" t="s">
        <v>70</v>
      </c>
      <c r="D38" s="100" t="s">
        <v>71</v>
      </c>
      <c r="E38" s="100" t="s">
        <v>72</v>
      </c>
      <c r="F38" s="100" t="s">
        <v>73</v>
      </c>
      <c r="G38" s="102" t="s">
        <v>120</v>
      </c>
      <c r="H38" s="300" t="s">
        <v>70</v>
      </c>
      <c r="I38" s="100" t="s">
        <v>71</v>
      </c>
      <c r="J38" s="100" t="s">
        <v>72</v>
      </c>
      <c r="K38" s="100" t="s">
        <v>73</v>
      </c>
      <c r="L38" s="99" t="s">
        <v>120</v>
      </c>
      <c r="M38" s="102" t="s">
        <v>150</v>
      </c>
      <c r="N38" s="300" t="s">
        <v>70</v>
      </c>
      <c r="O38" s="100" t="s">
        <v>71</v>
      </c>
      <c r="P38" s="100" t="s">
        <v>72</v>
      </c>
      <c r="Q38" s="100" t="s">
        <v>73</v>
      </c>
      <c r="R38" s="102" t="s">
        <v>120</v>
      </c>
      <c r="S38" s="300" t="s">
        <v>79</v>
      </c>
      <c r="T38" s="100" t="s">
        <v>80</v>
      </c>
      <c r="U38" s="100" t="s">
        <v>81</v>
      </c>
      <c r="V38" s="100" t="s">
        <v>76</v>
      </c>
      <c r="W38" s="102" t="s">
        <v>150</v>
      </c>
      <c r="X38" s="300" t="s">
        <v>70</v>
      </c>
      <c r="Y38" s="100" t="s">
        <v>71</v>
      </c>
      <c r="Z38" s="100" t="s">
        <v>111</v>
      </c>
      <c r="AA38" s="100" t="s">
        <v>72</v>
      </c>
      <c r="AB38" s="100" t="s">
        <v>73</v>
      </c>
      <c r="AC38" s="313" t="s">
        <v>120</v>
      </c>
      <c r="AD38" s="300" t="s">
        <v>70</v>
      </c>
      <c r="AE38" s="100" t="s">
        <v>71</v>
      </c>
      <c r="AF38" s="100" t="s">
        <v>111</v>
      </c>
      <c r="AG38" s="100" t="s">
        <v>72</v>
      </c>
      <c r="AH38" s="100" t="s">
        <v>73</v>
      </c>
      <c r="AI38" s="313" t="s">
        <v>120</v>
      </c>
      <c r="AJ38" s="300" t="s">
        <v>70</v>
      </c>
      <c r="AK38" s="100" t="s">
        <v>111</v>
      </c>
      <c r="AL38" s="100" t="s">
        <v>72</v>
      </c>
      <c r="AM38" s="100" t="s">
        <v>73</v>
      </c>
      <c r="AN38" s="102" t="s">
        <v>120</v>
      </c>
      <c r="AO38" s="300" t="s">
        <v>70</v>
      </c>
      <c r="AP38" s="100" t="s">
        <v>111</v>
      </c>
      <c r="AQ38" s="100" t="s">
        <v>72</v>
      </c>
      <c r="AR38" s="100" t="s">
        <v>73</v>
      </c>
      <c r="AS38" s="102" t="s">
        <v>120</v>
      </c>
      <c r="AT38" s="300" t="s">
        <v>70</v>
      </c>
      <c r="AU38" s="100" t="s">
        <v>111</v>
      </c>
      <c r="AV38" s="100" t="s">
        <v>72</v>
      </c>
      <c r="AW38" s="100" t="s">
        <v>73</v>
      </c>
      <c r="AX38" s="102" t="s">
        <v>120</v>
      </c>
      <c r="AY38" s="300" t="s">
        <v>70</v>
      </c>
      <c r="AZ38" s="100" t="s">
        <v>111</v>
      </c>
      <c r="BA38" s="100" t="s">
        <v>72</v>
      </c>
      <c r="BB38" s="100" t="s">
        <v>73</v>
      </c>
      <c r="BC38" s="102" t="s">
        <v>120</v>
      </c>
      <c r="BD38" s="300" t="s">
        <v>70</v>
      </c>
      <c r="BE38" s="100" t="s">
        <v>111</v>
      </c>
      <c r="BF38" s="100" t="s">
        <v>72</v>
      </c>
      <c r="BG38" s="100" t="s">
        <v>73</v>
      </c>
      <c r="BH38" s="102" t="s">
        <v>120</v>
      </c>
      <c r="BI38" s="300" t="s">
        <v>70</v>
      </c>
      <c r="BJ38" s="100" t="s">
        <v>111</v>
      </c>
      <c r="BK38" s="100" t="s">
        <v>72</v>
      </c>
      <c r="BL38" s="100" t="s">
        <v>73</v>
      </c>
      <c r="BM38" s="102" t="s">
        <v>120</v>
      </c>
      <c r="BN38" s="407" t="s">
        <v>70</v>
      </c>
      <c r="BO38" s="408" t="s">
        <v>111</v>
      </c>
      <c r="BP38" s="100" t="s">
        <v>72</v>
      </c>
      <c r="BQ38" s="100" t="s">
        <v>73</v>
      </c>
      <c r="BR38" s="102" t="s">
        <v>120</v>
      </c>
      <c r="BS38" s="94"/>
      <c r="BT38" s="94"/>
      <c r="BV38" s="94"/>
      <c r="CD38" s="476"/>
    </row>
    <row r="39" spans="1:87">
      <c r="A39" s="294" t="s">
        <v>42</v>
      </c>
      <c r="B39" s="315"/>
      <c r="C39" s="317">
        <v>3.99</v>
      </c>
      <c r="D39" s="108">
        <v>3.95</v>
      </c>
      <c r="E39" s="108">
        <v>3.87</v>
      </c>
      <c r="F39" s="108">
        <v>3.74</v>
      </c>
      <c r="G39" s="324">
        <v>3.8898635477582846</v>
      </c>
      <c r="H39" s="319">
        <v>3.99</v>
      </c>
      <c r="I39" s="110">
        <v>3.94</v>
      </c>
      <c r="J39" s="110">
        <v>3.98</v>
      </c>
      <c r="K39" s="110">
        <v>3.95</v>
      </c>
      <c r="L39" s="109">
        <v>3.95</v>
      </c>
      <c r="M39" s="324">
        <v>3.915346881569727</v>
      </c>
      <c r="N39" s="317">
        <v>4.04</v>
      </c>
      <c r="O39" s="108">
        <v>3.96</v>
      </c>
      <c r="P39" s="108">
        <v>3.97</v>
      </c>
      <c r="Q39" s="108">
        <v>4.0195667365478656</v>
      </c>
      <c r="R39" s="324">
        <v>3.9950420673076921</v>
      </c>
      <c r="S39" s="317">
        <v>3.9993472584856402</v>
      </c>
      <c r="T39" s="108">
        <v>3.92</v>
      </c>
      <c r="U39" s="108">
        <v>3.93</v>
      </c>
      <c r="V39" s="108">
        <v>3.97</v>
      </c>
      <c r="W39" s="324">
        <v>3.95</v>
      </c>
      <c r="X39" s="319">
        <v>4.027807414046241</v>
      </c>
      <c r="Y39" s="110">
        <v>3.9453521126760567</v>
      </c>
      <c r="Z39" s="110">
        <v>3.9821540388227934</v>
      </c>
      <c r="AA39" s="110">
        <v>3.9</v>
      </c>
      <c r="AB39" s="110">
        <v>3.82</v>
      </c>
      <c r="AC39" s="324">
        <v>3.9234743320256684</v>
      </c>
      <c r="AD39" s="319">
        <v>4.1660493226154713</v>
      </c>
      <c r="AE39" s="110">
        <v>4.1399999999999997</v>
      </c>
      <c r="AF39" s="110">
        <v>4.1500000000000004</v>
      </c>
      <c r="AG39" s="110">
        <v>4.05</v>
      </c>
      <c r="AH39" s="110">
        <v>3.9444053483462351</v>
      </c>
      <c r="AI39" s="324">
        <v>4.0999999999999996</v>
      </c>
      <c r="AJ39" s="317">
        <v>4.04</v>
      </c>
      <c r="AK39" s="108">
        <v>4</v>
      </c>
      <c r="AL39" s="108">
        <v>3.88</v>
      </c>
      <c r="AM39" s="108">
        <v>3.9745582671475721</v>
      </c>
      <c r="AN39" s="324">
        <v>3.96</v>
      </c>
      <c r="AO39" s="317">
        <v>4.05</v>
      </c>
      <c r="AP39" s="108">
        <v>4.01</v>
      </c>
      <c r="AQ39" s="108">
        <v>3.84</v>
      </c>
      <c r="AR39" s="108">
        <v>3.94</v>
      </c>
      <c r="AS39" s="324">
        <v>3.94</v>
      </c>
      <c r="AT39" s="317">
        <v>3.97</v>
      </c>
      <c r="AU39" s="108">
        <v>3.96</v>
      </c>
      <c r="AV39" s="108">
        <v>3.87</v>
      </c>
      <c r="AW39" s="108">
        <v>4.01</v>
      </c>
      <c r="AX39" s="324">
        <v>3.94</v>
      </c>
      <c r="AY39" s="317">
        <v>4.0199999999999996</v>
      </c>
      <c r="AZ39" s="108">
        <v>4.0199999999999996</v>
      </c>
      <c r="BA39" s="108">
        <v>3.88</v>
      </c>
      <c r="BB39" s="108">
        <v>4.17</v>
      </c>
      <c r="BC39" s="324">
        <v>4.01</v>
      </c>
      <c r="BD39" s="317">
        <v>4.12</v>
      </c>
      <c r="BE39" s="108">
        <v>4.12</v>
      </c>
      <c r="BF39" s="108">
        <v>3.9</v>
      </c>
      <c r="BG39" s="108">
        <v>4.0999999999999996</v>
      </c>
      <c r="BH39" s="455">
        <v>4.05</v>
      </c>
      <c r="BI39" s="317">
        <v>4.04</v>
      </c>
      <c r="BJ39" s="108">
        <v>4.0199999999999996</v>
      </c>
      <c r="BK39" s="108">
        <v>4.03</v>
      </c>
      <c r="BL39" s="108">
        <v>4.13</v>
      </c>
      <c r="BM39" s="324">
        <v>4.05</v>
      </c>
      <c r="BN39" s="417">
        <v>4.08</v>
      </c>
      <c r="BO39" s="418">
        <v>4.1900000000000004</v>
      </c>
      <c r="BP39" s="108">
        <v>4.1100000000000003</v>
      </c>
      <c r="BQ39" s="108">
        <v>4.16</v>
      </c>
      <c r="BR39" s="324">
        <v>4.05</v>
      </c>
      <c r="BS39" s="94"/>
      <c r="BT39" s="94"/>
      <c r="BV39" s="94"/>
    </row>
    <row r="40" spans="1:87">
      <c r="A40" s="295" t="s">
        <v>141</v>
      </c>
      <c r="B40" s="288"/>
      <c r="C40" s="302">
        <v>2.5125628140703071E-3</v>
      </c>
      <c r="D40" s="288">
        <v>-1.0025062656641603E-2</v>
      </c>
      <c r="E40" s="288">
        <v>-7.692307692307665E-3</v>
      </c>
      <c r="F40" s="288">
        <v>-3.8560411311053922E-2</v>
      </c>
      <c r="G40" s="289">
        <v>-1.2587407372786075E-2</v>
      </c>
      <c r="H40" s="302">
        <v>-6.6549182954180885E-3</v>
      </c>
      <c r="I40" s="288">
        <v>-1.574829070650785E-2</v>
      </c>
      <c r="J40" s="288">
        <v>1.1290772940728555E-2</v>
      </c>
      <c r="K40" s="288">
        <v>3.1981981981981988E-2</v>
      </c>
      <c r="L40" s="287">
        <v>8.0787412686089688E-4</v>
      </c>
      <c r="M40" s="289">
        <v>-7.972154680244925E-3</v>
      </c>
      <c r="N40" s="302">
        <v>-5.4384553499596811E-3</v>
      </c>
      <c r="O40" s="288">
        <v>-9.6287964004500015E-3</v>
      </c>
      <c r="P40" s="288">
        <v>-8.6438724548596468E-3</v>
      </c>
      <c r="Q40" s="288">
        <v>6.7202711552469818E-3</v>
      </c>
      <c r="R40" s="289">
        <v>-4.441779094502829E-3</v>
      </c>
      <c r="S40" s="302" t="s">
        <v>61</v>
      </c>
      <c r="T40" s="288" t="s">
        <v>61</v>
      </c>
      <c r="U40" s="288" t="s">
        <v>61</v>
      </c>
      <c r="V40" s="288">
        <v>3.0000000000000001E-3</v>
      </c>
      <c r="W40" s="289">
        <v>-5.0000000000000001E-3</v>
      </c>
      <c r="X40" s="302">
        <v>-3.1159185680798007E-3</v>
      </c>
      <c r="Y40" s="288">
        <v>-1.8614496496385247E-3</v>
      </c>
      <c r="Z40" s="288"/>
      <c r="AA40" s="288">
        <v>-7.7391677391672742E-3</v>
      </c>
      <c r="AB40" s="288">
        <v>-4.3084952896446871E-2</v>
      </c>
      <c r="AC40" s="289">
        <v>-1.2472517496220248E-2</v>
      </c>
      <c r="AD40" s="302">
        <v>-1.7984522298557515E-3</v>
      </c>
      <c r="AE40" s="288">
        <v>1.6319057500966183E-2</v>
      </c>
      <c r="AF40" s="288">
        <v>6.9926881044104494E-3</v>
      </c>
      <c r="AG40" s="288">
        <v>1.2820512820512997E-2</v>
      </c>
      <c r="AH40" s="288">
        <v>3.1413612565444948E-2</v>
      </c>
      <c r="AI40" s="289">
        <v>1.5306122448979664E-2</v>
      </c>
      <c r="AJ40" s="302">
        <v>-1.9E-2</v>
      </c>
      <c r="AK40" s="288">
        <v>-2.4E-2</v>
      </c>
      <c r="AL40" s="288">
        <v>-3.5000000000000003E-2</v>
      </c>
      <c r="AM40" s="288">
        <v>-8.0000000000000002E-3</v>
      </c>
      <c r="AN40" s="289">
        <v>-2.4390243902438935E-2</v>
      </c>
      <c r="AO40" s="302">
        <v>2E-3</v>
      </c>
      <c r="AP40" s="288">
        <v>4.9999999999998934E-3</v>
      </c>
      <c r="AQ40" s="288">
        <v>-2.5773195876288568E-3</v>
      </c>
      <c r="AR40" s="288">
        <v>5.6533106510587849E-3</v>
      </c>
      <c r="AS40" s="289">
        <v>2.525252525252597E-3</v>
      </c>
      <c r="AT40" s="302">
        <v>-2.4691358024691024E-3</v>
      </c>
      <c r="AU40" s="288">
        <v>2.4937655860348684E-3</v>
      </c>
      <c r="AV40" s="288">
        <v>1.0999999999999999E-2</v>
      </c>
      <c r="AW40" s="288">
        <v>1.5228426395939021E-2</v>
      </c>
      <c r="AX40" s="289">
        <v>7.0000000000000001E-3</v>
      </c>
      <c r="AY40" s="302">
        <v>8.0000000000000002E-3</v>
      </c>
      <c r="AZ40" s="288">
        <v>1.0999999999999999E-2</v>
      </c>
      <c r="BA40" s="288">
        <v>-4.0000000000000001E-3</v>
      </c>
      <c r="BB40" s="288">
        <v>3.9900249376558561E-2</v>
      </c>
      <c r="BC40" s="289">
        <v>1.576649746192893E-2</v>
      </c>
      <c r="BD40" s="302">
        <v>2.5000000000000001E-2</v>
      </c>
      <c r="BE40" s="288">
        <v>1.4999999999999999E-2</v>
      </c>
      <c r="BF40" s="288">
        <v>3.0000000000000001E-3</v>
      </c>
      <c r="BG40" s="288">
        <v>-1.6E-2</v>
      </c>
      <c r="BH40" s="289">
        <v>4.0000000000000001E-3</v>
      </c>
      <c r="BI40" s="302">
        <v>-1.7999999999999999E-2</v>
      </c>
      <c r="BJ40" s="288">
        <v>-2.5999999999999999E-2</v>
      </c>
      <c r="BK40" s="288">
        <v>3.5000000000000003E-2</v>
      </c>
      <c r="BL40" s="288">
        <v>8.0000000000000002E-3</v>
      </c>
      <c r="BM40" s="289">
        <v>-1E-3</v>
      </c>
      <c r="BN40" s="411">
        <v>1.4999999999999999E-2</v>
      </c>
      <c r="BO40" s="412">
        <v>4.8000000000000001E-2</v>
      </c>
      <c r="BP40" s="288">
        <v>1.7000000000000001E-2</v>
      </c>
      <c r="BQ40" s="288">
        <v>4.2872308602038167E-2</v>
      </c>
      <c r="BR40" s="289">
        <v>3.708053826718026E-2</v>
      </c>
      <c r="BS40" s="94"/>
      <c r="BT40" s="94"/>
      <c r="BV40" s="94"/>
    </row>
    <row r="41" spans="1:87">
      <c r="A41" s="294" t="s">
        <v>7</v>
      </c>
      <c r="B41" s="315"/>
      <c r="C41" s="317">
        <v>2.64</v>
      </c>
      <c r="D41" s="108">
        <v>2.81</v>
      </c>
      <c r="E41" s="108">
        <v>2.98</v>
      </c>
      <c r="F41" s="108">
        <v>2.7</v>
      </c>
      <c r="G41" s="324">
        <v>2.7998468215471028</v>
      </c>
      <c r="H41" s="319">
        <v>2.94</v>
      </c>
      <c r="I41" s="110">
        <v>2.91</v>
      </c>
      <c r="J41" s="110">
        <v>2.95</v>
      </c>
      <c r="K41" s="110">
        <v>2.88</v>
      </c>
      <c r="L41" s="109">
        <v>2.93</v>
      </c>
      <c r="M41" s="324">
        <v>2.9326995246434828</v>
      </c>
      <c r="N41" s="317">
        <v>3.01</v>
      </c>
      <c r="O41" s="108">
        <v>3.11</v>
      </c>
      <c r="P41" s="108">
        <v>3.01</v>
      </c>
      <c r="Q41" s="108">
        <v>2.8389923329682381</v>
      </c>
      <c r="R41" s="324">
        <v>2.993900889453621</v>
      </c>
      <c r="S41" s="317">
        <v>3.0125944584382869</v>
      </c>
      <c r="T41" s="108">
        <v>3.1</v>
      </c>
      <c r="U41" s="108">
        <v>3.01</v>
      </c>
      <c r="V41" s="108">
        <v>2.71</v>
      </c>
      <c r="W41" s="324">
        <v>2.97</v>
      </c>
      <c r="X41" s="319">
        <v>2.7733588353319352</v>
      </c>
      <c r="Y41" s="110">
        <v>2.8957345971563981</v>
      </c>
      <c r="Z41" s="110">
        <v>2.8442128359846404</v>
      </c>
      <c r="AA41" s="110">
        <v>2.9367785321081907</v>
      </c>
      <c r="AB41" s="110">
        <v>2.7859061884383536</v>
      </c>
      <c r="AC41" s="324">
        <v>2.8580507585756716</v>
      </c>
      <c r="AD41" s="319">
        <v>2.9451327414082007</v>
      </c>
      <c r="AE41" s="110">
        <v>3.01</v>
      </c>
      <c r="AF41" s="110">
        <v>2.98</v>
      </c>
      <c r="AG41" s="110">
        <v>3.02</v>
      </c>
      <c r="AH41" s="110">
        <v>2.8041002277904328</v>
      </c>
      <c r="AI41" s="324">
        <v>2.95</v>
      </c>
      <c r="AJ41" s="317">
        <v>2.81</v>
      </c>
      <c r="AK41" s="108">
        <v>2.85</v>
      </c>
      <c r="AL41" s="108">
        <v>2.89</v>
      </c>
      <c r="AM41" s="108">
        <v>2.7299577249709199</v>
      </c>
      <c r="AN41" s="324">
        <v>2.8370000000000002</v>
      </c>
      <c r="AO41" s="317">
        <v>2.7839999999999998</v>
      </c>
      <c r="AP41" s="108">
        <v>2.86</v>
      </c>
      <c r="AQ41" s="108">
        <v>3.04</v>
      </c>
      <c r="AR41" s="108">
        <v>2.83</v>
      </c>
      <c r="AS41" s="324">
        <v>2.9</v>
      </c>
      <c r="AT41" s="317">
        <v>2.96</v>
      </c>
      <c r="AU41" s="108">
        <v>2.97</v>
      </c>
      <c r="AV41" s="108">
        <v>3.05</v>
      </c>
      <c r="AW41" s="108">
        <v>2.83</v>
      </c>
      <c r="AX41" s="324">
        <v>2.96</v>
      </c>
      <c r="AY41" s="317">
        <v>2.87</v>
      </c>
      <c r="AZ41" s="108">
        <v>2.97</v>
      </c>
      <c r="BA41" s="108">
        <v>3.12</v>
      </c>
      <c r="BB41" s="108">
        <v>3.03</v>
      </c>
      <c r="BC41" s="324">
        <v>3.05</v>
      </c>
      <c r="BD41" s="317">
        <v>2.93</v>
      </c>
      <c r="BE41" s="108">
        <v>2.99</v>
      </c>
      <c r="BF41" s="108">
        <v>3.16</v>
      </c>
      <c r="BG41" s="108">
        <v>2.96</v>
      </c>
      <c r="BH41" s="455">
        <v>3.03</v>
      </c>
      <c r="BI41" s="317">
        <v>2.8</v>
      </c>
      <c r="BJ41" s="108">
        <v>2.74</v>
      </c>
      <c r="BK41" s="108">
        <v>3.08</v>
      </c>
      <c r="BL41" s="108">
        <v>2.74</v>
      </c>
      <c r="BM41" s="324">
        <v>2.84</v>
      </c>
      <c r="BN41" s="417">
        <v>2.93</v>
      </c>
      <c r="BO41" s="418">
        <v>3.15</v>
      </c>
      <c r="BP41" s="108">
        <v>3.49</v>
      </c>
      <c r="BQ41" s="108">
        <v>2.7174129353233831</v>
      </c>
      <c r="BR41" s="324">
        <v>2.8085416161125942</v>
      </c>
      <c r="BS41" s="94"/>
      <c r="BT41" s="94"/>
      <c r="BV41" s="94"/>
    </row>
    <row r="42" spans="1:87">
      <c r="A42" s="295" t="s">
        <v>141</v>
      </c>
      <c r="B42" s="288"/>
      <c r="C42" s="302">
        <v>-8.0139372822299659E-2</v>
      </c>
      <c r="D42" s="288">
        <v>-5.7046979865771785E-2</v>
      </c>
      <c r="E42" s="288">
        <v>-3.5598705501618033E-2</v>
      </c>
      <c r="F42" s="288">
        <v>-4.5936395759717308E-2</v>
      </c>
      <c r="G42" s="289">
        <v>-5.3885196408719693E-2</v>
      </c>
      <c r="H42" s="302">
        <v>1.7398091934084814E-2</v>
      </c>
      <c r="I42" s="288">
        <v>-5.7893030794163858E-3</v>
      </c>
      <c r="J42" s="288">
        <v>-2.4542334096109841E-2</v>
      </c>
      <c r="K42" s="288">
        <v>4.1750895344210059E-2</v>
      </c>
      <c r="L42" s="287">
        <v>6.7377192982456258E-3</v>
      </c>
      <c r="M42" s="289">
        <v>7.6652664937297832E-3</v>
      </c>
      <c r="N42" s="302">
        <v>1.4865900383141728E-2</v>
      </c>
      <c r="O42" s="288">
        <v>4.1434320206956032E-2</v>
      </c>
      <c r="P42" s="288">
        <v>2.2213261648745375E-2</v>
      </c>
      <c r="Q42" s="288">
        <v>5.1090642341254267E-2</v>
      </c>
      <c r="R42" s="289">
        <v>3.0273082664324047E-2</v>
      </c>
      <c r="S42" s="302" t="s">
        <v>61</v>
      </c>
      <c r="T42" s="288" t="s">
        <v>61</v>
      </c>
      <c r="U42" s="288" t="s">
        <v>61</v>
      </c>
      <c r="V42" s="288">
        <v>3.0000000000000001E-3</v>
      </c>
      <c r="W42" s="289">
        <v>2.1000000000000001E-2</v>
      </c>
      <c r="X42" s="302">
        <v>-1.284870196900656E-2</v>
      </c>
      <c r="Y42" s="288">
        <v>-1.543212164247576E-2</v>
      </c>
      <c r="Z42" s="288"/>
      <c r="AA42" s="288">
        <v>1.5458207728216822E-2</v>
      </c>
      <c r="AB42" s="288">
        <v>3.5029484966030644E-2</v>
      </c>
      <c r="AC42" s="289">
        <v>8.5197248175177265E-3</v>
      </c>
      <c r="AD42" s="302">
        <v>5.6995774972522506E-2</v>
      </c>
      <c r="AE42" s="288">
        <v>3.118631013669293E-2</v>
      </c>
      <c r="AF42" s="288">
        <v>4.0709739633558506E-2</v>
      </c>
      <c r="AG42" s="288">
        <v>3.0612244897959107E-2</v>
      </c>
      <c r="AH42" s="288">
        <v>3.5842293906809264E-3</v>
      </c>
      <c r="AI42" s="289">
        <v>2.7972027972027913E-2</v>
      </c>
      <c r="AJ42" s="302">
        <v>-2.7E-2</v>
      </c>
      <c r="AK42" s="288">
        <v>-0.02</v>
      </c>
      <c r="AL42" s="288">
        <v>-0.03</v>
      </c>
      <c r="AM42" s="288">
        <v>-2.1000000000000001E-2</v>
      </c>
      <c r="AN42" s="289">
        <v>-2.3728813559322104E-2</v>
      </c>
      <c r="AO42" s="302">
        <v>-1.0999999999999999E-2</v>
      </c>
      <c r="AP42" s="288">
        <v>-1.0526315789473717E-2</v>
      </c>
      <c r="AQ42" s="288">
        <v>3.460207612456756E-2</v>
      </c>
      <c r="AR42" s="288">
        <v>1.7000000000000001E-2</v>
      </c>
      <c r="AS42" s="289">
        <v>6.0000000000000001E-3</v>
      </c>
      <c r="AT42" s="302">
        <v>4.0839874180556901E-2</v>
      </c>
      <c r="AU42" s="288">
        <v>3.4000000000000002E-2</v>
      </c>
      <c r="AV42" s="288">
        <v>2.1000000000000001E-2</v>
      </c>
      <c r="AW42" s="288">
        <v>1.7000000000000001E-2</v>
      </c>
      <c r="AX42" s="289">
        <v>2.7E-2</v>
      </c>
      <c r="AY42" s="302">
        <v>-1.2999999999999999E-2</v>
      </c>
      <c r="AZ42" s="288">
        <v>8.9999999999999993E-3</v>
      </c>
      <c r="BA42" s="288">
        <v>2.5000000000000001E-2</v>
      </c>
      <c r="BB42" s="288">
        <v>7.1999999999999995E-2</v>
      </c>
      <c r="BC42" s="289">
        <v>2.840540540540526E-2</v>
      </c>
      <c r="BD42" s="302">
        <v>3.7999999999999999E-2</v>
      </c>
      <c r="BE42" s="288">
        <v>3.9E-2</v>
      </c>
      <c r="BF42" s="288">
        <v>4.5999999999999999E-2</v>
      </c>
      <c r="BG42" s="288">
        <v>2.3E-2</v>
      </c>
      <c r="BH42" s="289">
        <v>3.6999999999999998E-2</v>
      </c>
      <c r="BI42" s="302">
        <v>-4.5999999999999999E-2</v>
      </c>
      <c r="BJ42" s="288">
        <v>-8.2000000000000003E-2</v>
      </c>
      <c r="BK42" s="288">
        <v>-2.5999999999999999E-2</v>
      </c>
      <c r="BL42" s="288">
        <v>-7.5999999999999998E-2</v>
      </c>
      <c r="BM42" s="289">
        <v>-6.2E-2</v>
      </c>
      <c r="BN42" s="411">
        <v>8.8999999999999996E-2</v>
      </c>
      <c r="BO42" s="412">
        <v>0.16900000000000001</v>
      </c>
      <c r="BP42" s="288">
        <v>0.14000000000000001</v>
      </c>
      <c r="BQ42" s="288">
        <v>0.21649317361510709</v>
      </c>
      <c r="BR42" s="289">
        <v>0.17023104817906914</v>
      </c>
      <c r="BS42" s="94"/>
      <c r="BT42" s="94"/>
      <c r="BV42" s="94"/>
    </row>
    <row r="43" spans="1:87">
      <c r="A43" s="294" t="s">
        <v>15</v>
      </c>
      <c r="B43" s="315"/>
      <c r="C43" s="317">
        <v>2.61</v>
      </c>
      <c r="D43" s="108">
        <v>2.79</v>
      </c>
      <c r="E43" s="108">
        <v>2.73</v>
      </c>
      <c r="F43" s="108">
        <v>2.6</v>
      </c>
      <c r="G43" s="324">
        <v>2.6937683062316937</v>
      </c>
      <c r="H43" s="319">
        <v>2.8</v>
      </c>
      <c r="I43" s="110">
        <v>3.13</v>
      </c>
      <c r="J43" s="110">
        <v>3.06</v>
      </c>
      <c r="K43" s="110">
        <v>3.19</v>
      </c>
      <c r="L43" s="109">
        <v>3.09</v>
      </c>
      <c r="M43" s="324">
        <v>3.0614863477725311</v>
      </c>
      <c r="N43" s="317">
        <v>3.11</v>
      </c>
      <c r="O43" s="108">
        <v>3.21</v>
      </c>
      <c r="P43" s="108">
        <v>3.2</v>
      </c>
      <c r="Q43" s="108">
        <v>3.1641563835376161</v>
      </c>
      <c r="R43" s="324">
        <v>3.187641392056495</v>
      </c>
      <c r="S43" s="317">
        <v>2.98</v>
      </c>
      <c r="T43" s="108">
        <v>3.13</v>
      </c>
      <c r="U43" s="108">
        <v>3.13</v>
      </c>
      <c r="V43" s="108">
        <v>3.16</v>
      </c>
      <c r="W43" s="324">
        <v>3.11</v>
      </c>
      <c r="X43" s="319">
        <v>2.770842945123122</v>
      </c>
      <c r="Y43" s="110">
        <v>2.8802171700033932</v>
      </c>
      <c r="Z43" s="110">
        <v>2.8338969564352499</v>
      </c>
      <c r="AA43" s="110">
        <v>2.910095540057454</v>
      </c>
      <c r="AB43" s="110">
        <v>2.6815781338258846</v>
      </c>
      <c r="AC43" s="324">
        <v>2.8165883302372752</v>
      </c>
      <c r="AD43" s="319">
        <v>2.4463582844595964</v>
      </c>
      <c r="AE43" s="110">
        <v>2.63</v>
      </c>
      <c r="AF43" s="110">
        <v>2.5499999999999998</v>
      </c>
      <c r="AG43" s="110">
        <v>2.4900000000000002</v>
      </c>
      <c r="AH43" s="110">
        <v>2.7558777429467085</v>
      </c>
      <c r="AI43" s="324">
        <v>2.52</v>
      </c>
      <c r="AJ43" s="317">
        <v>2.3199999999999998</v>
      </c>
      <c r="AK43" s="108">
        <v>2.37</v>
      </c>
      <c r="AL43" s="108">
        <v>2.36</v>
      </c>
      <c r="AM43" s="108">
        <v>2.4000885655870308</v>
      </c>
      <c r="AN43" s="324">
        <v>2.3759999999999999</v>
      </c>
      <c r="AO43" s="317">
        <v>2.42</v>
      </c>
      <c r="AP43" s="108">
        <v>2.5099999999999998</v>
      </c>
      <c r="AQ43" s="108">
        <v>2.5</v>
      </c>
      <c r="AR43" s="108">
        <v>2.4</v>
      </c>
      <c r="AS43" s="324">
        <v>2.48</v>
      </c>
      <c r="AT43" s="317">
        <v>2.34</v>
      </c>
      <c r="AU43" s="108">
        <v>2.42</v>
      </c>
      <c r="AV43" s="108">
        <v>2.5099999999999998</v>
      </c>
      <c r="AW43" s="108">
        <v>2.48</v>
      </c>
      <c r="AX43" s="324">
        <v>2.46</v>
      </c>
      <c r="AY43" s="317">
        <v>2.44</v>
      </c>
      <c r="AZ43" s="108">
        <v>2.5299999999999998</v>
      </c>
      <c r="BA43" s="108">
        <v>2.61</v>
      </c>
      <c r="BB43" s="108">
        <v>2.64</v>
      </c>
      <c r="BC43" s="324">
        <v>2.58</v>
      </c>
      <c r="BD43" s="317">
        <v>2.5099999999999998</v>
      </c>
      <c r="BE43" s="108">
        <v>2.5</v>
      </c>
      <c r="BF43" s="108">
        <v>2.4700000000000002</v>
      </c>
      <c r="BG43" s="108">
        <v>2.31</v>
      </c>
      <c r="BH43" s="455">
        <v>2.44</v>
      </c>
      <c r="BI43" s="317">
        <v>2.4300000000000002</v>
      </c>
      <c r="BJ43" s="108">
        <v>2.39</v>
      </c>
      <c r="BK43" s="108">
        <v>2.41</v>
      </c>
      <c r="BL43" s="108">
        <v>2.2200000000000002</v>
      </c>
      <c r="BM43" s="324">
        <v>2.35</v>
      </c>
      <c r="BN43" s="417">
        <v>2.17</v>
      </c>
      <c r="BO43" s="418">
        <v>2.2599999999999998</v>
      </c>
      <c r="BP43" s="108">
        <v>2.46</v>
      </c>
      <c r="BQ43" s="108">
        <v>2.2821522309711284</v>
      </c>
      <c r="BR43" s="324">
        <v>2.2433001854036747</v>
      </c>
      <c r="BS43" s="94"/>
      <c r="BT43" s="94"/>
      <c r="BV43" s="94"/>
    </row>
    <row r="44" spans="1:87">
      <c r="A44" s="295" t="s">
        <v>141</v>
      </c>
      <c r="B44" s="288"/>
      <c r="C44" s="302">
        <v>4.4000000000000039E-2</v>
      </c>
      <c r="D44" s="288">
        <v>4.1044776119402826E-2</v>
      </c>
      <c r="E44" s="288">
        <v>-7.2727272727273196E-3</v>
      </c>
      <c r="F44" s="288">
        <v>2.3622047244094446E-2</v>
      </c>
      <c r="G44" s="289">
        <v>2.4127748645592195E-2</v>
      </c>
      <c r="H44" s="302">
        <v>5.0402144772117685E-2</v>
      </c>
      <c r="I44" s="288">
        <v>4.4345295829292031E-2</v>
      </c>
      <c r="J44" s="288">
        <v>4.7244222506096722E-2</v>
      </c>
      <c r="K44" s="288">
        <v>0.17125061384842044</v>
      </c>
      <c r="L44" s="287">
        <v>8.5281660163178286E-2</v>
      </c>
      <c r="M44" s="289">
        <v>7.5266985785591656E-2</v>
      </c>
      <c r="N44" s="302">
        <v>0.12020010720028562</v>
      </c>
      <c r="O44" s="288">
        <v>0.10358225108225105</v>
      </c>
      <c r="P44" s="288">
        <v>7.3086844368013715E-2</v>
      </c>
      <c r="Q44" s="288">
        <v>4.0302444146626648E-2</v>
      </c>
      <c r="R44" s="289">
        <v>8.7142788156491235E-2</v>
      </c>
      <c r="S44" s="302" t="s">
        <v>61</v>
      </c>
      <c r="T44" s="288" t="s">
        <v>61</v>
      </c>
      <c r="U44" s="288" t="s">
        <v>61</v>
      </c>
      <c r="V44" s="288">
        <v>0.03</v>
      </c>
      <c r="W44" s="289">
        <v>6.0999999999999999E-2</v>
      </c>
      <c r="X44" s="302">
        <v>3.8222224870879673E-2</v>
      </c>
      <c r="Y44" s="288">
        <v>-9.511016793191307E-2</v>
      </c>
      <c r="Z44" s="288"/>
      <c r="AA44" s="288">
        <v>3.2773113141884025E-2</v>
      </c>
      <c r="AB44" s="288">
        <v>3.8190941873917028E-2</v>
      </c>
      <c r="AC44" s="289">
        <v>3.4907122557974457E-2</v>
      </c>
      <c r="AD44" s="302">
        <v>3.6096016393463382E-2</v>
      </c>
      <c r="AE44" s="288">
        <v>3.5876463945723192E-2</v>
      </c>
      <c r="AF44" s="288">
        <v>3.7440685104590754E-2</v>
      </c>
      <c r="AG44" s="288">
        <v>4.8109965635738661E-2</v>
      </c>
      <c r="AH44" s="288">
        <v>2.9850746268656581E-2</v>
      </c>
      <c r="AI44" s="289">
        <v>3.5460992907801359E-2</v>
      </c>
      <c r="AJ44" s="302">
        <v>4.1000000000000002E-2</v>
      </c>
      <c r="AK44" s="288">
        <v>4.2999999999999997E-2</v>
      </c>
      <c r="AL44" s="288">
        <v>0.04</v>
      </c>
      <c r="AM44" s="288">
        <v>3.7999999999999999E-2</v>
      </c>
      <c r="AN44" s="289">
        <v>3.9682539682539764E-2</v>
      </c>
      <c r="AO44" s="302">
        <v>4.2999999999999997E-2</v>
      </c>
      <c r="AP44" s="288">
        <v>6.7510548523206593E-2</v>
      </c>
      <c r="AQ44" s="288">
        <v>8.0508474576271194E-2</v>
      </c>
      <c r="AR44" s="288">
        <v>6.778973291013668E-2</v>
      </c>
      <c r="AS44" s="289">
        <v>7.0999999999999994E-2</v>
      </c>
      <c r="AT44" s="302">
        <v>0.10330578512396693</v>
      </c>
      <c r="AU44" s="288">
        <v>8.5999999999999993E-2</v>
      </c>
      <c r="AV44" s="288">
        <v>4.2000000000000003E-2</v>
      </c>
      <c r="AW44" s="288">
        <v>7.0833333333333304E-2</v>
      </c>
      <c r="AX44" s="289">
        <v>6.9000000000000006E-2</v>
      </c>
      <c r="AY44" s="302">
        <v>4.4999999999999998E-2</v>
      </c>
      <c r="AZ44" s="288">
        <v>3.7999999999999999E-2</v>
      </c>
      <c r="BA44" s="288">
        <v>7.0000000000000001E-3</v>
      </c>
      <c r="BB44" s="288">
        <v>1.7000000000000001E-2</v>
      </c>
      <c r="BC44" s="289">
        <v>4.8780487804878092E-2</v>
      </c>
      <c r="BD44" s="302">
        <v>1.0999999999999999E-2</v>
      </c>
      <c r="BE44" s="288">
        <v>5.0000000000000001E-3</v>
      </c>
      <c r="BF44" s="288">
        <v>3.4000000000000002E-2</v>
      </c>
      <c r="BG44" s="288">
        <v>5.0000000000000001E-3</v>
      </c>
      <c r="BH44" s="289">
        <v>1.2999999999999999E-2</v>
      </c>
      <c r="BI44" s="302">
        <v>-3.1E-2</v>
      </c>
      <c r="BJ44" s="288">
        <v>-4.4999999999999998E-2</v>
      </c>
      <c r="BK44" s="288">
        <v>-2.5000000000000001E-2</v>
      </c>
      <c r="BL44" s="288">
        <v>-4.1000000000000002E-2</v>
      </c>
      <c r="BM44" s="289">
        <v>-3.5999999999999997E-2</v>
      </c>
      <c r="BN44" s="411">
        <v>1.6E-2</v>
      </c>
      <c r="BO44" s="412">
        <v>5.1999999999999998E-2</v>
      </c>
      <c r="BP44" s="288">
        <v>3.9E-2</v>
      </c>
      <c r="BQ44" s="288">
        <v>7.0348367010635557E-2</v>
      </c>
      <c r="BR44" s="289">
        <v>5.2836186849843599E-2</v>
      </c>
      <c r="BS44" s="94"/>
      <c r="BT44" s="94"/>
      <c r="BV44" s="94"/>
    </row>
    <row r="45" spans="1:87">
      <c r="A45" s="314" t="s">
        <v>140</v>
      </c>
      <c r="B45" s="316"/>
      <c r="C45" s="318">
        <v>3.1162143354210161</v>
      </c>
      <c r="D45" s="82">
        <v>3.19</v>
      </c>
      <c r="E45" s="82">
        <v>3.15</v>
      </c>
      <c r="F45" s="82">
        <v>3.01</v>
      </c>
      <c r="G45" s="325">
        <v>3.1226666666666669</v>
      </c>
      <c r="H45" s="320">
        <v>3.24</v>
      </c>
      <c r="I45" s="80">
        <v>3.36</v>
      </c>
      <c r="J45" s="80">
        <v>3.39</v>
      </c>
      <c r="K45" s="80">
        <v>3.38</v>
      </c>
      <c r="L45" s="81">
        <v>3.35</v>
      </c>
      <c r="M45" s="325">
        <v>3.328638497652582</v>
      </c>
      <c r="N45" s="318">
        <v>3.42</v>
      </c>
      <c r="O45" s="82">
        <v>3.43</v>
      </c>
      <c r="P45" s="82">
        <v>3.41</v>
      </c>
      <c r="Q45" s="82">
        <v>3.3591031190471683</v>
      </c>
      <c r="R45" s="325">
        <v>3.4092891654919466</v>
      </c>
      <c r="S45" s="318">
        <v>3.36</v>
      </c>
      <c r="T45" s="82">
        <v>3.38</v>
      </c>
      <c r="U45" s="82">
        <v>3.37</v>
      </c>
      <c r="V45" s="82">
        <v>3.32</v>
      </c>
      <c r="W45" s="325">
        <v>3.36</v>
      </c>
      <c r="X45" s="320">
        <v>3.1893019995131562</v>
      </c>
      <c r="Y45" s="80">
        <v>3.2104898736368357</v>
      </c>
      <c r="Z45" s="80">
        <v>3.2009605214469028</v>
      </c>
      <c r="AA45" s="80">
        <v>3.2347207293927207</v>
      </c>
      <c r="AB45" s="80">
        <v>3.0468433310075418</v>
      </c>
      <c r="AC45" s="325">
        <v>3.173752716532086</v>
      </c>
      <c r="AD45" s="320">
        <v>3.0828564419211899</v>
      </c>
      <c r="AE45" s="80">
        <v>3.17</v>
      </c>
      <c r="AF45" s="80">
        <v>3.13</v>
      </c>
      <c r="AG45" s="80">
        <v>3.06</v>
      </c>
      <c r="AH45" s="80">
        <v>3.1127602556173981</v>
      </c>
      <c r="AI45" s="325">
        <v>3.08</v>
      </c>
      <c r="AJ45" s="318">
        <v>2.94</v>
      </c>
      <c r="AK45" s="82">
        <v>2.95</v>
      </c>
      <c r="AL45" s="82">
        <v>2.93</v>
      </c>
      <c r="AM45" s="82">
        <v>2.9161114872035907</v>
      </c>
      <c r="AN45" s="325">
        <v>2.9380000000000002</v>
      </c>
      <c r="AO45" s="318">
        <v>2.9750000000000001</v>
      </c>
      <c r="AP45" s="82">
        <v>3.02</v>
      </c>
      <c r="AQ45" s="82">
        <v>3.01</v>
      </c>
      <c r="AR45" s="82">
        <v>2.91</v>
      </c>
      <c r="AS45" s="325">
        <v>2.99</v>
      </c>
      <c r="AT45" s="318">
        <v>2.93</v>
      </c>
      <c r="AU45" s="82">
        <v>2.97</v>
      </c>
      <c r="AV45" s="82">
        <v>3.03</v>
      </c>
      <c r="AW45" s="82">
        <v>2.97</v>
      </c>
      <c r="AX45" s="325">
        <v>2.99</v>
      </c>
      <c r="AY45" s="318">
        <v>2.98</v>
      </c>
      <c r="AZ45" s="82">
        <v>3.04</v>
      </c>
      <c r="BA45" s="82">
        <v>3.08</v>
      </c>
      <c r="BB45" s="82">
        <v>3.06</v>
      </c>
      <c r="BC45" s="325">
        <v>3.04</v>
      </c>
      <c r="BD45" s="318">
        <v>3.04</v>
      </c>
      <c r="BE45" s="82">
        <v>3.04</v>
      </c>
      <c r="BF45" s="82">
        <v>3.02</v>
      </c>
      <c r="BG45" s="82">
        <v>2.89</v>
      </c>
      <c r="BH45" s="456">
        <v>2.99</v>
      </c>
      <c r="BI45" s="318">
        <v>2.91</v>
      </c>
      <c r="BJ45" s="82">
        <v>2.86</v>
      </c>
      <c r="BK45" s="82">
        <v>2.98</v>
      </c>
      <c r="BL45" s="82">
        <v>2.77</v>
      </c>
      <c r="BM45" s="325">
        <v>2.87</v>
      </c>
      <c r="BN45" s="419">
        <v>2.75</v>
      </c>
      <c r="BO45" s="420">
        <v>2.88</v>
      </c>
      <c r="BP45" s="82">
        <v>3.06</v>
      </c>
      <c r="BQ45" s="82">
        <v>2.810876928867144</v>
      </c>
      <c r="BR45" s="325">
        <v>2.8071268027720548</v>
      </c>
      <c r="BS45" s="94"/>
      <c r="BT45" s="94"/>
      <c r="BV45" s="94"/>
    </row>
    <row r="46" spans="1:87" ht="14.5" thickBot="1">
      <c r="A46" s="297" t="s">
        <v>141</v>
      </c>
      <c r="B46" s="180"/>
      <c r="C46" s="31"/>
      <c r="D46" s="42">
        <v>0</v>
      </c>
      <c r="E46" s="42">
        <v>-2.4767801857585203E-2</v>
      </c>
      <c r="F46" s="42">
        <v>-2.2727272727272818E-2</v>
      </c>
      <c r="G46" s="98">
        <v>-1.2510829920329147E-2</v>
      </c>
      <c r="H46" s="31">
        <v>1.4352941176470679E-2</v>
      </c>
      <c r="I46" s="42">
        <v>9.69476366283617E-3</v>
      </c>
      <c r="J46" s="42">
        <v>3.5522365655959343E-2</v>
      </c>
      <c r="K46" s="42">
        <v>8.6420496354271181E-2</v>
      </c>
      <c r="L46" s="96">
        <v>3.5533443240697071E-2</v>
      </c>
      <c r="M46" s="98">
        <v>2.8930293963498332E-2</v>
      </c>
      <c r="N46" s="31">
        <v>4.7663300614363635E-2</v>
      </c>
      <c r="O46" s="42">
        <v>4.393564356435653E-2</v>
      </c>
      <c r="P46" s="42">
        <v>2.7876982070681011E-2</v>
      </c>
      <c r="Q46" s="42">
        <v>2.2584112771161902E-2</v>
      </c>
      <c r="R46" s="98">
        <v>3.6271106806810671E-2</v>
      </c>
      <c r="S46" s="31" t="s">
        <v>61</v>
      </c>
      <c r="T46" s="42" t="s">
        <v>61</v>
      </c>
      <c r="U46" s="42" t="s">
        <v>61</v>
      </c>
      <c r="V46" s="42">
        <v>8.9999999999999993E-3</v>
      </c>
      <c r="W46" s="98">
        <v>2.1999999999999999E-2</v>
      </c>
      <c r="X46" s="31">
        <v>5.4851367852484234E-3</v>
      </c>
      <c r="Y46" s="42">
        <v>1.2836851516732972E-2</v>
      </c>
      <c r="Z46" s="42"/>
      <c r="AA46" s="42">
        <v>1.4214654549209893E-2</v>
      </c>
      <c r="AB46" s="42">
        <v>9.2448050775957302E-3</v>
      </c>
      <c r="AC46" s="98">
        <v>1.0825567865522689E-2</v>
      </c>
      <c r="AD46" s="31">
        <v>1.8955200815435891E-2</v>
      </c>
      <c r="AE46" s="42">
        <v>2.9002866299444374E-2</v>
      </c>
      <c r="AF46" s="42">
        <v>2.4692425296569898E-2</v>
      </c>
      <c r="AG46" s="42">
        <v>2.7863777089783159E-2</v>
      </c>
      <c r="AH46" s="42">
        <v>1.9672131147540961E-2</v>
      </c>
      <c r="AI46" s="98">
        <v>2.5236593059936974E-2</v>
      </c>
      <c r="AJ46" s="31">
        <v>0</v>
      </c>
      <c r="AK46" s="42">
        <v>0</v>
      </c>
      <c r="AL46" s="42">
        <v>0</v>
      </c>
      <c r="AM46" s="42">
        <v>8.0000000000000002E-3</v>
      </c>
      <c r="AN46" s="98">
        <v>3.2467532467532756E-3</v>
      </c>
      <c r="AO46" s="31">
        <v>1.4E-2</v>
      </c>
      <c r="AP46" s="42">
        <v>2.3728813559321882E-2</v>
      </c>
      <c r="AQ46" s="42">
        <v>3.7542662116040848E-2</v>
      </c>
      <c r="AR46" s="42">
        <v>3.082191780821919E-2</v>
      </c>
      <c r="AS46" s="98">
        <v>2.9000000000000001E-2</v>
      </c>
      <c r="AT46" s="31">
        <v>4.5068433877616165E-2</v>
      </c>
      <c r="AU46" s="42">
        <v>4.3046357615893927E-2</v>
      </c>
      <c r="AV46" s="42">
        <v>2.5000000000000001E-2</v>
      </c>
      <c r="AW46" s="42">
        <v>3.6999999999999998E-2</v>
      </c>
      <c r="AX46" s="98">
        <v>3.5999999999999997E-2</v>
      </c>
      <c r="AY46" s="31">
        <v>2.1000000000000001E-2</v>
      </c>
      <c r="AZ46" s="42">
        <v>1.7999999999999999E-2</v>
      </c>
      <c r="BA46" s="42">
        <v>3.0000000000000001E-3</v>
      </c>
      <c r="BB46" s="42">
        <v>3.1E-2</v>
      </c>
      <c r="BC46" s="98">
        <v>1.6722408026755842E-2</v>
      </c>
      <c r="BD46" s="31">
        <v>1.0999999999999999E-2</v>
      </c>
      <c r="BE46" s="42">
        <v>1.2E-2</v>
      </c>
      <c r="BF46" s="42">
        <v>2.3E-2</v>
      </c>
      <c r="BG46" s="42">
        <v>1.2999999999999999E-2</v>
      </c>
      <c r="BH46" s="98">
        <v>0.01</v>
      </c>
      <c r="BI46" s="31">
        <v>-4.1000000000000002E-2</v>
      </c>
      <c r="BJ46" s="42">
        <v>-6.0999999999999999E-2</v>
      </c>
      <c r="BK46" s="42">
        <v>-1.2E-2</v>
      </c>
      <c r="BL46" s="42">
        <v>-4.2000000000000003E-2</v>
      </c>
      <c r="BM46" s="98">
        <v>-4.1000000000000002E-2</v>
      </c>
      <c r="BN46" s="415">
        <v>1.2E-2</v>
      </c>
      <c r="BO46" s="416">
        <v>6.2E-2</v>
      </c>
      <c r="BP46" s="42">
        <v>3.5000000000000003E-2</v>
      </c>
      <c r="BQ46" s="42">
        <v>7.9786517137891311E-2</v>
      </c>
      <c r="BR46" s="98">
        <v>5.8417168858322745E-2</v>
      </c>
      <c r="BS46" s="94"/>
      <c r="BT46" s="94"/>
      <c r="BV46" s="94"/>
    </row>
    <row r="47" spans="1:87">
      <c r="A47" s="83" t="s">
        <v>157</v>
      </c>
      <c r="B47" s="84"/>
      <c r="C47" s="85"/>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O47" s="84"/>
    </row>
    <row r="48" spans="1:87" ht="14.5" thickBot="1">
      <c r="A48" s="86"/>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O48" s="70"/>
      <c r="AP48" s="70"/>
    </row>
    <row r="49" spans="1:85" s="94" customFormat="1" ht="20">
      <c r="A49" s="527" t="s">
        <v>154</v>
      </c>
      <c r="B49" s="306">
        <v>2009</v>
      </c>
      <c r="C49" s="298">
        <v>2010</v>
      </c>
      <c r="D49" s="93"/>
      <c r="E49" s="93"/>
      <c r="F49" s="93"/>
      <c r="G49" s="299"/>
      <c r="H49" s="298">
        <v>2011</v>
      </c>
      <c r="I49" s="93"/>
      <c r="J49" s="93"/>
      <c r="K49" s="93"/>
      <c r="L49" s="93"/>
      <c r="M49" s="299"/>
      <c r="N49" s="298">
        <v>2012</v>
      </c>
      <c r="O49" s="93"/>
      <c r="P49" s="93"/>
      <c r="Q49" s="93"/>
      <c r="R49" s="299"/>
      <c r="S49" s="298" t="s">
        <v>67</v>
      </c>
      <c r="T49" s="93"/>
      <c r="U49" s="93"/>
      <c r="V49" s="93"/>
      <c r="W49" s="299"/>
      <c r="X49" s="312" t="s">
        <v>122</v>
      </c>
      <c r="Y49" s="93"/>
      <c r="Z49" s="93"/>
      <c r="AA49" s="93"/>
      <c r="AB49" s="93"/>
      <c r="AC49" s="299"/>
      <c r="AD49" s="312" t="s">
        <v>124</v>
      </c>
      <c r="AE49" s="93"/>
      <c r="AF49" s="93"/>
      <c r="AG49" s="93"/>
      <c r="AH49" s="93"/>
      <c r="AI49" s="299"/>
      <c r="AJ49" s="298">
        <v>2015</v>
      </c>
      <c r="AK49" s="93"/>
      <c r="AL49" s="93"/>
      <c r="AM49" s="93"/>
      <c r="AN49" s="299"/>
      <c r="AO49" s="298">
        <v>2016</v>
      </c>
      <c r="AP49" s="93"/>
      <c r="AQ49" s="93"/>
      <c r="AR49" s="93"/>
      <c r="AS49" s="299"/>
      <c r="AT49" s="298">
        <v>2017</v>
      </c>
      <c r="AU49" s="93"/>
      <c r="AV49" s="93"/>
      <c r="AW49" s="93"/>
      <c r="AX49" s="299"/>
      <c r="AY49" s="298">
        <v>2018</v>
      </c>
      <c r="AZ49" s="93"/>
      <c r="BA49" s="93"/>
      <c r="BB49" s="93"/>
      <c r="BC49" s="299"/>
      <c r="BD49" s="298">
        <v>2019</v>
      </c>
      <c r="BE49" s="93"/>
      <c r="BF49" s="93"/>
      <c r="BG49" s="93"/>
      <c r="BH49" s="299"/>
      <c r="BI49" s="298">
        <v>2020</v>
      </c>
      <c r="BJ49" s="93"/>
      <c r="BK49" s="93"/>
      <c r="BL49" s="93"/>
      <c r="BM49" s="299"/>
      <c r="BN49" s="298">
        <v>2021</v>
      </c>
      <c r="BO49" s="93"/>
      <c r="BP49" s="93"/>
      <c r="BQ49" s="93"/>
      <c r="BR49" s="299"/>
      <c r="BS49" s="298">
        <v>2022</v>
      </c>
      <c r="BT49" s="93"/>
      <c r="BU49" s="93"/>
      <c r="BV49" s="299"/>
      <c r="BW49" s="299"/>
      <c r="BX49" s="298">
        <v>2023</v>
      </c>
      <c r="BY49" s="93"/>
      <c r="BZ49" s="93"/>
      <c r="CA49" s="299"/>
      <c r="CB49" s="299"/>
      <c r="CC49" s="298">
        <v>2024</v>
      </c>
      <c r="CD49" s="93"/>
      <c r="CE49" s="93"/>
      <c r="CF49" s="299"/>
      <c r="CG49" s="299"/>
    </row>
    <row r="50" spans="1:85" s="95" customFormat="1" ht="20.9" customHeight="1">
      <c r="A50" s="528"/>
      <c r="B50" s="307" t="s">
        <v>120</v>
      </c>
      <c r="C50" s="300" t="s">
        <v>70</v>
      </c>
      <c r="D50" s="100" t="s">
        <v>71</v>
      </c>
      <c r="E50" s="100" t="s">
        <v>72</v>
      </c>
      <c r="F50" s="100" t="s">
        <v>73</v>
      </c>
      <c r="G50" s="102" t="s">
        <v>120</v>
      </c>
      <c r="H50" s="300" t="s">
        <v>70</v>
      </c>
      <c r="I50" s="100" t="s">
        <v>71</v>
      </c>
      <c r="J50" s="100" t="s">
        <v>72</v>
      </c>
      <c r="K50" s="100" t="s">
        <v>73</v>
      </c>
      <c r="L50" s="101" t="s">
        <v>120</v>
      </c>
      <c r="M50" s="304" t="s">
        <v>150</v>
      </c>
      <c r="N50" s="300" t="s">
        <v>70</v>
      </c>
      <c r="O50" s="100" t="s">
        <v>71</v>
      </c>
      <c r="P50" s="100" t="s">
        <v>72</v>
      </c>
      <c r="Q50" s="100" t="s">
        <v>73</v>
      </c>
      <c r="R50" s="102" t="s">
        <v>120</v>
      </c>
      <c r="S50" s="300" t="s">
        <v>79</v>
      </c>
      <c r="T50" s="100" t="s">
        <v>80</v>
      </c>
      <c r="U50" s="100" t="s">
        <v>81</v>
      </c>
      <c r="V50" s="100" t="s">
        <v>76</v>
      </c>
      <c r="W50" s="102" t="s">
        <v>150</v>
      </c>
      <c r="X50" s="300" t="s">
        <v>70</v>
      </c>
      <c r="Y50" s="100" t="s">
        <v>71</v>
      </c>
      <c r="Z50" s="100" t="s">
        <v>111</v>
      </c>
      <c r="AA50" s="100" t="s">
        <v>72</v>
      </c>
      <c r="AB50" s="100" t="s">
        <v>73</v>
      </c>
      <c r="AC50" s="313" t="s">
        <v>120</v>
      </c>
      <c r="AD50" s="300" t="s">
        <v>70</v>
      </c>
      <c r="AE50" s="100" t="s">
        <v>71</v>
      </c>
      <c r="AF50" s="100" t="s">
        <v>111</v>
      </c>
      <c r="AG50" s="100" t="s">
        <v>72</v>
      </c>
      <c r="AH50" s="100" t="s">
        <v>73</v>
      </c>
      <c r="AI50" s="313" t="s">
        <v>120</v>
      </c>
      <c r="AJ50" s="300" t="s">
        <v>70</v>
      </c>
      <c r="AK50" s="100" t="s">
        <v>111</v>
      </c>
      <c r="AL50" s="100" t="s">
        <v>72</v>
      </c>
      <c r="AM50" s="100" t="s">
        <v>73</v>
      </c>
      <c r="AN50" s="102" t="s">
        <v>120</v>
      </c>
      <c r="AO50" s="300" t="s">
        <v>70</v>
      </c>
      <c r="AP50" s="100" t="s">
        <v>111</v>
      </c>
      <c r="AQ50" s="100" t="s">
        <v>72</v>
      </c>
      <c r="AR50" s="100" t="s">
        <v>73</v>
      </c>
      <c r="AS50" s="102" t="s">
        <v>120</v>
      </c>
      <c r="AT50" s="300" t="s">
        <v>70</v>
      </c>
      <c r="AU50" s="100" t="s">
        <v>111</v>
      </c>
      <c r="AV50" s="100" t="s">
        <v>72</v>
      </c>
      <c r="AW50" s="100" t="s">
        <v>73</v>
      </c>
      <c r="AX50" s="102" t="s">
        <v>120</v>
      </c>
      <c r="AY50" s="300" t="s">
        <v>70</v>
      </c>
      <c r="AZ50" s="100" t="s">
        <v>111</v>
      </c>
      <c r="BA50" s="100" t="s">
        <v>72</v>
      </c>
      <c r="BB50" s="100" t="s">
        <v>73</v>
      </c>
      <c r="BC50" s="102" t="s">
        <v>120</v>
      </c>
      <c r="BD50" s="300" t="s">
        <v>70</v>
      </c>
      <c r="BE50" s="100" t="s">
        <v>111</v>
      </c>
      <c r="BF50" s="100" t="s">
        <v>72</v>
      </c>
      <c r="BG50" s="100" t="s">
        <v>73</v>
      </c>
      <c r="BH50" s="102" t="s">
        <v>120</v>
      </c>
      <c r="BI50" s="300" t="s">
        <v>70</v>
      </c>
      <c r="BJ50" s="100" t="s">
        <v>111</v>
      </c>
      <c r="BK50" s="100" t="s">
        <v>72</v>
      </c>
      <c r="BL50" s="100" t="s">
        <v>73</v>
      </c>
      <c r="BM50" s="102" t="s">
        <v>120</v>
      </c>
      <c r="BN50" s="407" t="s">
        <v>70</v>
      </c>
      <c r="BO50" s="421" t="s">
        <v>111</v>
      </c>
      <c r="BP50" s="100" t="s">
        <v>72</v>
      </c>
      <c r="BQ50" s="100" t="s">
        <v>73</v>
      </c>
      <c r="BR50" s="102" t="s">
        <v>120</v>
      </c>
      <c r="BS50" s="407" t="s">
        <v>70</v>
      </c>
      <c r="BT50" s="421" t="s">
        <v>111</v>
      </c>
      <c r="BU50" s="100" t="s">
        <v>73</v>
      </c>
      <c r="BV50" s="102" t="s">
        <v>120</v>
      </c>
      <c r="BW50" s="102" t="s">
        <v>120</v>
      </c>
      <c r="BX50" s="407" t="s">
        <v>70</v>
      </c>
      <c r="BY50" s="421" t="s">
        <v>111</v>
      </c>
      <c r="BZ50" s="100" t="s">
        <v>72</v>
      </c>
      <c r="CA50" s="102" t="s">
        <v>120</v>
      </c>
      <c r="CB50" s="102" t="s">
        <v>120</v>
      </c>
      <c r="CC50" s="407" t="s">
        <v>70</v>
      </c>
      <c r="CD50" s="421" t="s">
        <v>111</v>
      </c>
      <c r="CE50" s="100" t="s">
        <v>72</v>
      </c>
      <c r="CF50" s="102" t="s">
        <v>120</v>
      </c>
      <c r="CG50" s="102" t="s">
        <v>120</v>
      </c>
    </row>
    <row r="51" spans="1:85" s="90" customFormat="1">
      <c r="A51" s="326" t="s">
        <v>0</v>
      </c>
      <c r="B51" s="72">
        <v>297.60000000000002</v>
      </c>
      <c r="C51" s="223">
        <v>43.8</v>
      </c>
      <c r="D51" s="111">
        <v>102.8</v>
      </c>
      <c r="E51" s="111">
        <v>103.3</v>
      </c>
      <c r="F51" s="112">
        <v>19</v>
      </c>
      <c r="G51" s="225">
        <v>268.89999999999998</v>
      </c>
      <c r="H51" s="223">
        <v>33.5</v>
      </c>
      <c r="I51" s="111">
        <v>96.6</v>
      </c>
      <c r="J51" s="111">
        <v>94.4</v>
      </c>
      <c r="K51" s="112">
        <v>-15.8</v>
      </c>
      <c r="L51" s="112">
        <f>SUM(H51:K51)</f>
        <v>208.7</v>
      </c>
      <c r="M51" s="225">
        <v>201.4</v>
      </c>
      <c r="N51" s="223">
        <v>8.5</v>
      </c>
      <c r="O51" s="111">
        <v>58.1</v>
      </c>
      <c r="P51" s="111">
        <v>66.2</v>
      </c>
      <c r="Q51" s="112">
        <v>-38.51400000000001</v>
      </c>
      <c r="R51" s="225">
        <v>94.286000000000001</v>
      </c>
      <c r="S51" s="223">
        <v>8.6999999999999993</v>
      </c>
      <c r="T51" s="111">
        <v>56.3</v>
      </c>
      <c r="U51" s="111">
        <f>W51-T51-S51-V51</f>
        <v>65.600000000000009</v>
      </c>
      <c r="V51" s="112">
        <v>-38.1</v>
      </c>
      <c r="W51" s="225">
        <v>92.5</v>
      </c>
      <c r="X51" s="223">
        <v>3.4</v>
      </c>
      <c r="Y51" s="111">
        <v>30.5</v>
      </c>
      <c r="Z51" s="111">
        <f>Y51+X51</f>
        <v>33.9</v>
      </c>
      <c r="AA51" s="111">
        <v>71.5</v>
      </c>
      <c r="AB51" s="112">
        <v>-16.8</v>
      </c>
      <c r="AC51" s="225">
        <v>88.6</v>
      </c>
      <c r="AD51" s="223">
        <v>-11.1</v>
      </c>
      <c r="AE51" s="111">
        <v>70</v>
      </c>
      <c r="AF51" s="111">
        <v>58.9</v>
      </c>
      <c r="AG51" s="111">
        <v>51.3</v>
      </c>
      <c r="AH51" s="112">
        <v>13.5</v>
      </c>
      <c r="AI51" s="225">
        <v>123.7</v>
      </c>
      <c r="AJ51" s="340" t="s">
        <v>127</v>
      </c>
      <c r="AK51" s="111">
        <v>73.2</v>
      </c>
      <c r="AL51" s="113" t="s">
        <v>127</v>
      </c>
      <c r="AM51" s="114" t="s">
        <v>127</v>
      </c>
      <c r="AN51" s="225">
        <v>171.3</v>
      </c>
      <c r="AO51" s="340" t="s">
        <v>127</v>
      </c>
      <c r="AP51" s="111">
        <v>97.5</v>
      </c>
      <c r="AQ51" s="113" t="s">
        <v>127</v>
      </c>
      <c r="AR51" s="114" t="s">
        <v>127</v>
      </c>
      <c r="AS51" s="224">
        <v>236.8</v>
      </c>
      <c r="AT51" s="340" t="s">
        <v>127</v>
      </c>
      <c r="AU51" s="111">
        <v>99</v>
      </c>
      <c r="AV51" s="113" t="s">
        <v>127</v>
      </c>
      <c r="AW51" s="114" t="s">
        <v>127</v>
      </c>
      <c r="AX51" s="224">
        <v>238.3</v>
      </c>
      <c r="AY51" s="340" t="s">
        <v>127</v>
      </c>
      <c r="AZ51" s="111">
        <v>108.3</v>
      </c>
      <c r="BA51" s="113" t="s">
        <v>127</v>
      </c>
      <c r="BB51" s="114" t="s">
        <v>127</v>
      </c>
      <c r="BC51" s="224">
        <v>232</v>
      </c>
      <c r="BD51" s="340" t="s">
        <v>127</v>
      </c>
      <c r="BE51" s="111">
        <v>92.2</v>
      </c>
      <c r="BF51" s="113" t="s">
        <v>127</v>
      </c>
      <c r="BG51" s="114" t="s">
        <v>127</v>
      </c>
      <c r="BH51" s="224">
        <v>236</v>
      </c>
      <c r="BI51" s="340" t="s">
        <v>127</v>
      </c>
      <c r="BJ51" s="111">
        <v>46.6</v>
      </c>
      <c r="BK51" s="113"/>
      <c r="BL51" s="114" t="s">
        <v>127</v>
      </c>
      <c r="BM51" s="224">
        <v>203.3</v>
      </c>
      <c r="BN51" s="422" t="s">
        <v>127</v>
      </c>
      <c r="BO51" s="423">
        <v>110.6</v>
      </c>
      <c r="BP51" s="113"/>
      <c r="BQ51" s="114"/>
      <c r="BR51" s="224">
        <v>285.60000000000002</v>
      </c>
      <c r="BS51" s="422" t="s">
        <v>127</v>
      </c>
      <c r="BT51" s="423">
        <v>147.4</v>
      </c>
      <c r="BU51" s="114"/>
      <c r="BV51" s="224"/>
      <c r="BW51" s="224">
        <v>310.39999999999998</v>
      </c>
      <c r="BX51" s="340" t="s">
        <v>127</v>
      </c>
      <c r="BY51" s="491">
        <v>170.8</v>
      </c>
      <c r="BZ51" s="114"/>
      <c r="CA51" s="224"/>
      <c r="CB51" s="224">
        <v>379.2</v>
      </c>
      <c r="CC51" s="340" t="s">
        <v>127</v>
      </c>
      <c r="CD51" s="491">
        <v>194</v>
      </c>
      <c r="CE51" s="114"/>
      <c r="CF51" s="224"/>
      <c r="CG51" s="224"/>
    </row>
    <row r="52" spans="1:85">
      <c r="A52" s="327" t="s">
        <v>141</v>
      </c>
      <c r="B52" s="168"/>
      <c r="C52" s="332">
        <v>0.20661157024793389</v>
      </c>
      <c r="D52" s="115">
        <v>-9.1872791519434671E-2</v>
      </c>
      <c r="E52" s="115">
        <v>-0.14415907207953607</v>
      </c>
      <c r="F52" s="116">
        <v>-0.30656934306569339</v>
      </c>
      <c r="G52" s="333">
        <v>-9.6438172043010861E-2</v>
      </c>
      <c r="H52" s="332">
        <f>+H51/C51-1</f>
        <v>-0.23515981735159808</v>
      </c>
      <c r="I52" s="115">
        <f>+I51/D51-1</f>
        <v>-6.0311284046692615E-2</v>
      </c>
      <c r="J52" s="115">
        <f>+J51/E51-1</f>
        <v>-8.6156824782187669E-2</v>
      </c>
      <c r="K52" s="116">
        <f>+K51/F51-1</f>
        <v>-1.831578947368421</v>
      </c>
      <c r="L52" s="116">
        <f>L51/G51-1</f>
        <v>-0.22387504648568235</v>
      </c>
      <c r="M52" s="333">
        <f>M51/G51-1</f>
        <v>-0.25102268501301594</v>
      </c>
      <c r="N52" s="332">
        <f>+N51/H51-1</f>
        <v>-0.74626865671641784</v>
      </c>
      <c r="O52" s="115">
        <f>+O51/I51-1</f>
        <v>-0.39855072463768115</v>
      </c>
      <c r="P52" s="115">
        <f>+P51/J51-1</f>
        <v>-0.29872881355932202</v>
      </c>
      <c r="Q52" s="116">
        <v>1.4375949367088614</v>
      </c>
      <c r="R52" s="333">
        <v>-0.54822232870148535</v>
      </c>
      <c r="S52" s="332" t="s">
        <v>61</v>
      </c>
      <c r="T52" s="115" t="s">
        <v>61</v>
      </c>
      <c r="U52" s="115" t="s">
        <v>61</v>
      </c>
      <c r="V52" s="116" t="s">
        <v>61</v>
      </c>
      <c r="W52" s="333">
        <f>W51/M51-1</f>
        <v>-0.54071499503475673</v>
      </c>
      <c r="X52" s="332">
        <f>IF(OR(((X51-S51)/S51)&gt;=100%,((X51-S51)/S51)&lt;=-100%),"&gt;100%",((X51-S51)/ABS(S51)))</f>
        <v>-0.6091954022988505</v>
      </c>
      <c r="Y52" s="115">
        <f>IF(OR(((Y51-T51)/T51)&gt;=100%,((Y51-T51)/T51)&lt;=-100%),"&gt;100%",((Y51-T51)/ABS(T51)))</f>
        <v>-0.45825932504440492</v>
      </c>
      <c r="Z52" s="115"/>
      <c r="AA52" s="115">
        <f t="shared" ref="AA52:AI52" si="28">IF(OR(((AA51-U51)/U51)&gt;=100%,((AA51-U51)/U51)&lt;=-100%),"&gt;100%",((AA51-U51)/ABS(U51)))</f>
        <v>8.993902439024376E-2</v>
      </c>
      <c r="AB52" s="116">
        <f t="shared" si="28"/>
        <v>0.55905511811023623</v>
      </c>
      <c r="AC52" s="333">
        <f t="shared" si="28"/>
        <v>-4.2162162162162224E-2</v>
      </c>
      <c r="AD52" s="332" t="str">
        <f t="shared" si="28"/>
        <v>&gt;100%</v>
      </c>
      <c r="AE52" s="115" t="str">
        <f t="shared" si="28"/>
        <v>&gt;100%</v>
      </c>
      <c r="AF52" s="115">
        <f t="shared" si="28"/>
        <v>0.73746312684365789</v>
      </c>
      <c r="AG52" s="115">
        <f t="shared" si="28"/>
        <v>-0.28251748251748254</v>
      </c>
      <c r="AH52" s="116" t="str">
        <f t="shared" si="28"/>
        <v>&gt;100%</v>
      </c>
      <c r="AI52" s="333">
        <f t="shared" si="28"/>
        <v>0.39616252821670439</v>
      </c>
      <c r="AJ52" s="341" t="s">
        <v>127</v>
      </c>
      <c r="AK52" s="115">
        <f>IF(OR(((AK51-AF51)/AF51)&gt;=100%,((AK51-AF51)/AF51)&lt;=-100%),"&gt;100%",((AK51-AF51)/ABS(AF51)))</f>
        <v>0.24278438030560279</v>
      </c>
      <c r="AL52" s="117" t="s">
        <v>127</v>
      </c>
      <c r="AM52" s="118" t="s">
        <v>127</v>
      </c>
      <c r="AN52" s="333">
        <f>IF(OR(((AN51-AI51)/AI51)&gt;=100%,((AN51-AI51)/AI51)&lt;=-100%),"&gt;100%",((AN51-AI51)/ABS(AI51)))</f>
        <v>0.38480194017784969</v>
      </c>
      <c r="AO52" s="341" t="s">
        <v>127</v>
      </c>
      <c r="AP52" s="115">
        <f>ROUND(AP51,2)/ROUND(AK51,2)-1</f>
        <v>0.33196721311475397</v>
      </c>
      <c r="AQ52" s="117" t="s">
        <v>127</v>
      </c>
      <c r="AR52" s="118" t="s">
        <v>127</v>
      </c>
      <c r="AS52" s="346">
        <f>IF(OR(((AS51-AN51)/AN51)&gt;=100%,((AS51-AN51)/AN51)&lt;=-100%),"&gt;100%",((AS51-AN51)/ABS(AN51)))</f>
        <v>0.38237011091652068</v>
      </c>
      <c r="AT52" s="341" t="s">
        <v>127</v>
      </c>
      <c r="AU52" s="115">
        <f>ROUND(AU51,2)/ROUND(AP51,2)-1</f>
        <v>1.538461538461533E-2</v>
      </c>
      <c r="AV52" s="117" t="s">
        <v>127</v>
      </c>
      <c r="AW52" s="118" t="s">
        <v>127</v>
      </c>
      <c r="AX52" s="333">
        <f>ROUND(AX51,2)/ROUND(AS51,2)-1</f>
        <v>6.3344594594594295E-3</v>
      </c>
      <c r="AY52" s="341" t="s">
        <v>127</v>
      </c>
      <c r="AZ52" s="115">
        <f>ROUND(AZ51,2)/ROUND(AU51,2)-1</f>
        <v>9.3939393939393989E-2</v>
      </c>
      <c r="BA52" s="117" t="s">
        <v>127</v>
      </c>
      <c r="BB52" s="118" t="s">
        <v>127</v>
      </c>
      <c r="BC52" s="346">
        <f>BC51/AX51-1</f>
        <v>-2.64372639530005E-2</v>
      </c>
      <c r="BD52" s="341" t="s">
        <v>127</v>
      </c>
      <c r="BE52" s="115">
        <f>ROUND(BE51,2)/ROUND(AZ51,2)-1</f>
        <v>-0.14866112650046159</v>
      </c>
      <c r="BF52" s="117" t="s">
        <v>127</v>
      </c>
      <c r="BG52" s="118" t="s">
        <v>127</v>
      </c>
      <c r="BH52" s="346">
        <f>BH51/BC51-1</f>
        <v>1.7241379310344751E-2</v>
      </c>
      <c r="BI52" s="341" t="s">
        <v>127</v>
      </c>
      <c r="BJ52" s="115">
        <v>-0.49457700650759218</v>
      </c>
      <c r="BK52" s="117"/>
      <c r="BL52" s="118" t="s">
        <v>127</v>
      </c>
      <c r="BM52" s="346">
        <f>BM51/BH51-1</f>
        <v>-0.1385593220338982</v>
      </c>
      <c r="BN52" s="424" t="s">
        <v>127</v>
      </c>
      <c r="BO52" s="425" t="s">
        <v>83</v>
      </c>
      <c r="BP52" s="117"/>
      <c r="BQ52" s="118"/>
      <c r="BR52" s="346">
        <f>BR51/BM51-1</f>
        <v>0.40482046237088043</v>
      </c>
      <c r="BS52" s="424" t="s">
        <v>127</v>
      </c>
      <c r="BT52" s="425">
        <f>BT51/BO51-1</f>
        <v>0.3327305605786619</v>
      </c>
      <c r="BU52" s="118"/>
      <c r="BV52" s="346"/>
      <c r="BW52" s="346">
        <f>BW51/BR51-1</f>
        <v>8.6834733893557337E-2</v>
      </c>
      <c r="BX52" s="341" t="s">
        <v>127</v>
      </c>
      <c r="BY52" s="435">
        <v>0.159</v>
      </c>
      <c r="BZ52" s="118"/>
      <c r="CA52" s="346"/>
      <c r="CB52" s="346">
        <v>0.22164948453608257</v>
      </c>
      <c r="CC52" s="341" t="s">
        <v>127</v>
      </c>
      <c r="CD52" s="435">
        <v>0.13600000000000001</v>
      </c>
      <c r="CE52" s="118"/>
      <c r="CF52" s="346"/>
      <c r="CG52" s="346"/>
    </row>
    <row r="53" spans="1:85">
      <c r="A53" s="328" t="s">
        <v>142</v>
      </c>
      <c r="B53" s="288"/>
      <c r="C53" s="334">
        <v>7.0169817366228765E-2</v>
      </c>
      <c r="D53" s="290">
        <v>0.13015953405925551</v>
      </c>
      <c r="E53" s="290">
        <v>0.13110800863053687</v>
      </c>
      <c r="F53" s="291">
        <v>3.0030030030030026E-2</v>
      </c>
      <c r="G53" s="335">
        <v>9.4863472800395102E-2</v>
      </c>
      <c r="H53" s="334">
        <f t="shared" ref="H53:P53" si="29">+H51/H17</f>
        <v>5.3901850362027354E-2</v>
      </c>
      <c r="I53" s="290">
        <f t="shared" si="29"/>
        <v>0.12073490813648292</v>
      </c>
      <c r="J53" s="290">
        <f t="shared" si="29"/>
        <v>0.12088615699833527</v>
      </c>
      <c r="K53" s="291">
        <f t="shared" si="29"/>
        <v>-2.6137303556658397E-2</v>
      </c>
      <c r="L53" s="291">
        <f t="shared" si="29"/>
        <v>7.434983968649804E-2</v>
      </c>
      <c r="M53" s="335">
        <f t="shared" si="29"/>
        <v>7.1045576407506694E-2</v>
      </c>
      <c r="N53" s="334">
        <f t="shared" si="29"/>
        <v>1.383914034516444E-2</v>
      </c>
      <c r="O53" s="290">
        <f t="shared" si="29"/>
        <v>7.9047619047619047E-2</v>
      </c>
      <c r="P53" s="290">
        <f t="shared" si="29"/>
        <v>8.8490843470124314E-2</v>
      </c>
      <c r="Q53" s="291">
        <v>-6.6899426784783778E-2</v>
      </c>
      <c r="R53" s="335">
        <v>3.5273475495697718E-2</v>
      </c>
      <c r="S53" s="334">
        <f t="shared" ref="S53:Y53" si="30">+S51/S17</f>
        <v>1.402773298935827E-2</v>
      </c>
      <c r="T53" s="290">
        <f t="shared" si="30"/>
        <v>7.5682215351525736E-2</v>
      </c>
      <c r="U53" s="290">
        <f t="shared" si="30"/>
        <v>8.6772486772486834E-2</v>
      </c>
      <c r="V53" s="291">
        <f t="shared" si="30"/>
        <v>-6.5497679216090759E-2</v>
      </c>
      <c r="W53" s="335">
        <f t="shared" si="30"/>
        <v>3.4236434969279743E-2</v>
      </c>
      <c r="X53" s="334">
        <f t="shared" si="30"/>
        <v>5.959684487291849E-3</v>
      </c>
      <c r="Y53" s="290">
        <f t="shared" si="30"/>
        <v>4.3746414228341933E-2</v>
      </c>
      <c r="Z53" s="290"/>
      <c r="AA53" s="290">
        <f t="shared" ref="AA53:AI53" si="31">+AA51/AA17</f>
        <v>9.9679353129792286E-2</v>
      </c>
      <c r="AB53" s="291">
        <f t="shared" si="31"/>
        <v>-3.0292102416155788E-2</v>
      </c>
      <c r="AC53" s="335">
        <f t="shared" si="31"/>
        <v>3.4887383839974799E-2</v>
      </c>
      <c r="AD53" s="334">
        <f t="shared" si="31"/>
        <v>-2.1026709604091684E-2</v>
      </c>
      <c r="AE53" s="290">
        <f t="shared" si="31"/>
        <v>9.9985716326239107E-2</v>
      </c>
      <c r="AF53" s="290">
        <f t="shared" si="31"/>
        <v>4.7964169381107494E-2</v>
      </c>
      <c r="AG53" s="290">
        <f t="shared" si="31"/>
        <v>7.7680193821926105E-2</v>
      </c>
      <c r="AH53" s="291">
        <f t="shared" si="31"/>
        <v>2.4085637823371989E-2</v>
      </c>
      <c r="AI53" s="335">
        <f t="shared" si="31"/>
        <v>5.051247498877047E-2</v>
      </c>
      <c r="AJ53" s="342" t="s">
        <v>127</v>
      </c>
      <c r="AK53" s="290">
        <f>+AK51/AK17</f>
        <v>5.9175424413904609E-2</v>
      </c>
      <c r="AL53" s="292" t="s">
        <v>127</v>
      </c>
      <c r="AM53" s="293" t="s">
        <v>127</v>
      </c>
      <c r="AN53" s="335">
        <f>+AN51/AN17</f>
        <v>6.8915644918989258E-2</v>
      </c>
      <c r="AO53" s="342" t="s">
        <v>127</v>
      </c>
      <c r="AP53" s="290">
        <f>+AP51/AP17</f>
        <v>8.1754150595337929E-2</v>
      </c>
      <c r="AQ53" s="292" t="s">
        <v>127</v>
      </c>
      <c r="AR53" s="293" t="s">
        <v>127</v>
      </c>
      <c r="AS53" s="347">
        <f>+AS51/AS17</f>
        <v>9.8348281875220392E-2</v>
      </c>
      <c r="AT53" s="342" t="s">
        <v>127</v>
      </c>
      <c r="AU53" s="290">
        <v>8.2000000000000003E-2</v>
      </c>
      <c r="AV53" s="292" t="s">
        <v>127</v>
      </c>
      <c r="AW53" s="293" t="s">
        <v>127</v>
      </c>
      <c r="AX53" s="335">
        <f>+AX51/AX17</f>
        <v>9.7812256290276234E-2</v>
      </c>
      <c r="AY53" s="342" t="s">
        <v>127</v>
      </c>
      <c r="AZ53" s="290">
        <v>0.09</v>
      </c>
      <c r="BA53" s="292" t="s">
        <v>127</v>
      </c>
      <c r="BB53" s="293" t="s">
        <v>127</v>
      </c>
      <c r="BC53" s="347">
        <v>9.4E-2</v>
      </c>
      <c r="BD53" s="342" t="s">
        <v>127</v>
      </c>
      <c r="BE53" s="290">
        <v>7.3999999999999996E-2</v>
      </c>
      <c r="BF53" s="292" t="s">
        <v>127</v>
      </c>
      <c r="BG53" s="293" t="s">
        <v>127</v>
      </c>
      <c r="BH53" s="347">
        <v>9.4E-2</v>
      </c>
      <c r="BI53" s="342" t="s">
        <v>127</v>
      </c>
      <c r="BJ53" s="290">
        <v>4.7E-2</v>
      </c>
      <c r="BK53" s="292"/>
      <c r="BL53" s="293" t="s">
        <v>127</v>
      </c>
      <c r="BM53" s="347">
        <v>9.2999999999999999E-2</v>
      </c>
      <c r="BN53" s="426" t="s">
        <v>127</v>
      </c>
      <c r="BO53" s="427">
        <v>9.6000000000000002E-2</v>
      </c>
      <c r="BP53" s="292"/>
      <c r="BQ53" s="293"/>
      <c r="BR53" s="347">
        <v>0.115</v>
      </c>
      <c r="BS53" s="426" t="s">
        <v>127</v>
      </c>
      <c r="BT53" s="427">
        <v>0.106</v>
      </c>
      <c r="BU53" s="293"/>
      <c r="BV53" s="347"/>
      <c r="BW53" s="347">
        <v>0.104</v>
      </c>
      <c r="BX53" s="342" t="s">
        <v>127</v>
      </c>
      <c r="BY53" s="436">
        <v>0.105</v>
      </c>
      <c r="BZ53" s="293"/>
      <c r="CA53" s="347"/>
      <c r="CB53" s="347">
        <v>0.11290754801250558</v>
      </c>
      <c r="CC53" s="342" t="s">
        <v>127</v>
      </c>
      <c r="CD53" s="436">
        <v>0.113</v>
      </c>
      <c r="CE53" s="293"/>
      <c r="CF53" s="347"/>
      <c r="CG53" s="347"/>
    </row>
    <row r="54" spans="1:85" s="90" customFormat="1">
      <c r="A54" s="326" t="s">
        <v>7</v>
      </c>
      <c r="B54" s="72">
        <v>86.3</v>
      </c>
      <c r="C54" s="223">
        <v>0.9</v>
      </c>
      <c r="D54" s="111">
        <v>31.4</v>
      </c>
      <c r="E54" s="111">
        <v>47.9</v>
      </c>
      <c r="F54" s="112">
        <v>9</v>
      </c>
      <c r="G54" s="225">
        <v>89.199999999999989</v>
      </c>
      <c r="H54" s="223">
        <v>-6.1</v>
      </c>
      <c r="I54" s="111">
        <v>30</v>
      </c>
      <c r="J54" s="111">
        <v>32</v>
      </c>
      <c r="K54" s="112">
        <v>2.5</v>
      </c>
      <c r="L54" s="112">
        <f>SUM(H54:K54)</f>
        <v>58.4</v>
      </c>
      <c r="M54" s="225">
        <v>58.4</v>
      </c>
      <c r="N54" s="223">
        <v>-13.6</v>
      </c>
      <c r="O54" s="111">
        <v>14.6</v>
      </c>
      <c r="P54" s="111">
        <v>25.2</v>
      </c>
      <c r="Q54" s="112">
        <v>-34.929000000000002</v>
      </c>
      <c r="R54" s="225">
        <v>-8.7289999999999992</v>
      </c>
      <c r="S54" s="223">
        <v>-13.6</v>
      </c>
      <c r="T54" s="111">
        <v>14.6</v>
      </c>
      <c r="U54" s="111">
        <f>W54-T54-S54-V54</f>
        <v>25.200000000000003</v>
      </c>
      <c r="V54" s="112">
        <v>-34.9</v>
      </c>
      <c r="W54" s="225">
        <v>-8.6999999999999993</v>
      </c>
      <c r="X54" s="223">
        <v>-14.9</v>
      </c>
      <c r="Y54" s="111">
        <v>15.4</v>
      </c>
      <c r="Z54" s="111">
        <f>Y54+X54</f>
        <v>0.5</v>
      </c>
      <c r="AA54" s="111">
        <v>37.6</v>
      </c>
      <c r="AB54" s="112">
        <v>-1.5</v>
      </c>
      <c r="AC54" s="225">
        <v>36.6</v>
      </c>
      <c r="AD54" s="223">
        <v>-10</v>
      </c>
      <c r="AE54" s="111">
        <v>32.799999999999997</v>
      </c>
      <c r="AF54" s="111">
        <v>22.8</v>
      </c>
      <c r="AG54" s="111">
        <v>32.299999999999997</v>
      </c>
      <c r="AH54" s="112">
        <v>-3.1</v>
      </c>
      <c r="AI54" s="225">
        <v>52</v>
      </c>
      <c r="AJ54" s="340" t="s">
        <v>127</v>
      </c>
      <c r="AK54" s="111">
        <v>43.9</v>
      </c>
      <c r="AL54" s="113" t="s">
        <v>127</v>
      </c>
      <c r="AM54" s="114" t="s">
        <v>127</v>
      </c>
      <c r="AN54" s="225">
        <v>87.4</v>
      </c>
      <c r="AO54" s="340" t="s">
        <v>127</v>
      </c>
      <c r="AP54" s="111">
        <v>39.5</v>
      </c>
      <c r="AQ54" s="113" t="s">
        <v>127</v>
      </c>
      <c r="AR54" s="114" t="s">
        <v>127</v>
      </c>
      <c r="AS54" s="224">
        <v>92.9</v>
      </c>
      <c r="AT54" s="340" t="s">
        <v>127</v>
      </c>
      <c r="AU54" s="111">
        <v>31.2</v>
      </c>
      <c r="AV54" s="113" t="s">
        <v>127</v>
      </c>
      <c r="AW54" s="114" t="s">
        <v>127</v>
      </c>
      <c r="AX54" s="224">
        <v>91.6</v>
      </c>
      <c r="AY54" s="340" t="s">
        <v>127</v>
      </c>
      <c r="AZ54" s="111">
        <v>55.4</v>
      </c>
      <c r="BA54" s="113" t="s">
        <v>127</v>
      </c>
      <c r="BB54" s="114" t="s">
        <v>127</v>
      </c>
      <c r="BC54" s="224">
        <v>130.69999999999999</v>
      </c>
      <c r="BD54" s="340" t="s">
        <v>127</v>
      </c>
      <c r="BE54" s="111">
        <v>49.5</v>
      </c>
      <c r="BF54" s="113" t="s">
        <v>127</v>
      </c>
      <c r="BG54" s="114" t="s">
        <v>127</v>
      </c>
      <c r="BH54" s="224">
        <v>139</v>
      </c>
      <c r="BI54" s="340" t="s">
        <v>127</v>
      </c>
      <c r="BJ54" s="111">
        <v>16.100000000000001</v>
      </c>
      <c r="BK54" s="113"/>
      <c r="BL54" s="114" t="s">
        <v>127</v>
      </c>
      <c r="BM54" s="224">
        <v>97</v>
      </c>
      <c r="BN54" s="422" t="s">
        <v>127</v>
      </c>
      <c r="BO54" s="423">
        <v>35.700000000000003</v>
      </c>
      <c r="BP54" s="113"/>
      <c r="BQ54" s="114"/>
      <c r="BR54" s="224">
        <v>104.7</v>
      </c>
      <c r="BS54" s="422" t="s">
        <v>127</v>
      </c>
      <c r="BT54" s="423">
        <v>56.9</v>
      </c>
      <c r="BU54" s="114"/>
      <c r="BV54" s="224"/>
      <c r="BW54" s="224">
        <v>113.1</v>
      </c>
      <c r="BX54" s="422" t="s">
        <v>127</v>
      </c>
      <c r="BY54" s="423">
        <v>67.2</v>
      </c>
      <c r="BZ54" s="114"/>
      <c r="CA54" s="224"/>
      <c r="CB54" s="224">
        <v>152.6</v>
      </c>
      <c r="CC54" s="422" t="s">
        <v>127</v>
      </c>
      <c r="CD54" s="423">
        <v>117.4</v>
      </c>
      <c r="CE54" s="114"/>
      <c r="CF54" s="224"/>
      <c r="CG54" s="224"/>
    </row>
    <row r="55" spans="1:85">
      <c r="A55" s="327" t="s">
        <v>141</v>
      </c>
      <c r="B55" s="168"/>
      <c r="C55" s="332">
        <v>1.1125</v>
      </c>
      <c r="D55" s="115">
        <v>-0.10541310541310549</v>
      </c>
      <c r="E55" s="115">
        <v>-0.15070921985815602</v>
      </c>
      <c r="F55" s="116">
        <v>2.2142857142857144</v>
      </c>
      <c r="G55" s="333">
        <v>3.3603707995364829E-2</v>
      </c>
      <c r="H55" s="332">
        <f>+H54/C54-1</f>
        <v>-7.7777777777777768</v>
      </c>
      <c r="I55" s="115">
        <f>+I54/D54-1</f>
        <v>-4.4585987261146487E-2</v>
      </c>
      <c r="J55" s="115">
        <f>+J54/E54-1</f>
        <v>-0.33194154488517746</v>
      </c>
      <c r="K55" s="116">
        <f>+K54/F54-1</f>
        <v>-0.72222222222222221</v>
      </c>
      <c r="L55" s="116">
        <f>L54/G54-1</f>
        <v>-0.34529147982062769</v>
      </c>
      <c r="M55" s="333">
        <f>M54/G54-1</f>
        <v>-0.34529147982062769</v>
      </c>
      <c r="N55" s="332">
        <f>+N54/H54-1</f>
        <v>1.2295081967213117</v>
      </c>
      <c r="O55" s="115">
        <f>+O54/I54-1</f>
        <v>-0.51333333333333342</v>
      </c>
      <c r="P55" s="115">
        <f>+P54/J54-1</f>
        <v>-0.21250000000000002</v>
      </c>
      <c r="Q55" s="116">
        <v>-14.9716</v>
      </c>
      <c r="R55" s="333">
        <v>-1.1494691780821917</v>
      </c>
      <c r="S55" s="332" t="s">
        <v>61</v>
      </c>
      <c r="T55" s="115" t="s">
        <v>61</v>
      </c>
      <c r="U55" s="115" t="s">
        <v>61</v>
      </c>
      <c r="V55" s="116" t="s">
        <v>61</v>
      </c>
      <c r="W55" s="333">
        <f>W54/M54-1</f>
        <v>-1.148972602739726</v>
      </c>
      <c r="X55" s="332">
        <f>IF(OR(((X54-S54)/S54)&gt;=100%,((X54-S54)/S54)&lt;=-100%),"&gt;100%",((X54-S54)/ABS(S54)))</f>
        <v>-9.5588235294117696E-2</v>
      </c>
      <c r="Y55" s="115">
        <f>IF(OR(((Y54-T54)/T54)&gt;=100%,((Y54-T54)/T54)&lt;=-100%),"&gt;100%",((Y54-T54)/ABS(T54)))</f>
        <v>5.4794520547945258E-2</v>
      </c>
      <c r="Z55" s="115"/>
      <c r="AA55" s="115">
        <f t="shared" ref="AA55:AI55" si="32">IF(OR(((AA54-U54)/U54)&gt;=100%,((AA54-U54)/U54)&lt;=-100%),"&gt;100%",((AA54-U54)/ABS(U54)))</f>
        <v>0.49206349206349193</v>
      </c>
      <c r="AB55" s="116">
        <f t="shared" si="32"/>
        <v>0.95702005730659023</v>
      </c>
      <c r="AC55" s="333" t="str">
        <f t="shared" si="32"/>
        <v>&gt;100%</v>
      </c>
      <c r="AD55" s="332">
        <f t="shared" si="32"/>
        <v>0.32885906040268459</v>
      </c>
      <c r="AE55" s="115" t="str">
        <f t="shared" si="32"/>
        <v>&gt;100%</v>
      </c>
      <c r="AF55" s="115" t="str">
        <f t="shared" si="32"/>
        <v>&gt;100%</v>
      </c>
      <c r="AG55" s="115">
        <f t="shared" si="32"/>
        <v>-0.14095744680851074</v>
      </c>
      <c r="AH55" s="116" t="str">
        <f t="shared" si="32"/>
        <v>&gt;100%</v>
      </c>
      <c r="AI55" s="333">
        <f t="shared" si="32"/>
        <v>0.42076502732240434</v>
      </c>
      <c r="AJ55" s="341" t="s">
        <v>127</v>
      </c>
      <c r="AK55" s="115">
        <f>IF(OR(((AK54-AF54)/AF54)&gt;=100%,((AK54-AF54)/AF54)&lt;=-100%),"&gt;100%",((AK54-AF54)/ABS(AF54)))</f>
        <v>0.92543859649122795</v>
      </c>
      <c r="AL55" s="117" t="s">
        <v>127</v>
      </c>
      <c r="AM55" s="118" t="s">
        <v>127</v>
      </c>
      <c r="AN55" s="333">
        <f>IF(OR(((AN54-AI54)/AI54)&gt;=100%,((AN54-AI54)/AI54)&lt;=-100%),"&gt;100%",((AN54-AI54)/ABS(AI54)))</f>
        <v>0.6807692307692309</v>
      </c>
      <c r="AO55" s="341" t="s">
        <v>127</v>
      </c>
      <c r="AP55" s="115">
        <f>ROUND(AP54,2)/ROUND(AK54,2)-1</f>
        <v>-0.10022779043280183</v>
      </c>
      <c r="AQ55" s="117" t="s">
        <v>127</v>
      </c>
      <c r="AR55" s="118" t="s">
        <v>127</v>
      </c>
      <c r="AS55" s="346">
        <f>IF(OR(((AS54-AN54)/AN54)&gt;=100%,((AS54-AN54)/AN54)&lt;=-100%),"&gt;100%",((AS54-AN54)/ABS(AN54)))</f>
        <v>6.2929061784897017E-2</v>
      </c>
      <c r="AT55" s="341" t="s">
        <v>127</v>
      </c>
      <c r="AU55" s="115">
        <f>ROUND(AU54,2)/ROUND(AP54,2)-1</f>
        <v>-0.21012658227848102</v>
      </c>
      <c r="AV55" s="117" t="s">
        <v>127</v>
      </c>
      <c r="AW55" s="118" t="s">
        <v>127</v>
      </c>
      <c r="AX55" s="333">
        <f>ROUND(AX54,2)/ROUND(AS54,2)-1</f>
        <v>-1.3993541442411273E-2</v>
      </c>
      <c r="AY55" s="341" t="s">
        <v>127</v>
      </c>
      <c r="AZ55" s="115">
        <f>ROUND(AZ54,2)/ROUND(AU54,2)-1</f>
        <v>0.77564102564102555</v>
      </c>
      <c r="BA55" s="117" t="s">
        <v>127</v>
      </c>
      <c r="BB55" s="118" t="s">
        <v>127</v>
      </c>
      <c r="BC55" s="346">
        <f>BC54/AX54-1</f>
        <v>0.42685589519650646</v>
      </c>
      <c r="BD55" s="341" t="s">
        <v>127</v>
      </c>
      <c r="BE55" s="115">
        <f>ROUND(BE54,2)/ROUND(AZ54,2)-1</f>
        <v>-0.10649819494584833</v>
      </c>
      <c r="BF55" s="117" t="s">
        <v>127</v>
      </c>
      <c r="BG55" s="118" t="s">
        <v>127</v>
      </c>
      <c r="BH55" s="346">
        <f>BH54/BC54-1</f>
        <v>6.3504208110175986E-2</v>
      </c>
      <c r="BI55" s="341" t="s">
        <v>127</v>
      </c>
      <c r="BJ55" s="115">
        <v>-0.67474747474747465</v>
      </c>
      <c r="BK55" s="117"/>
      <c r="BL55" s="118" t="s">
        <v>127</v>
      </c>
      <c r="BM55" s="346">
        <f>BM54/BH54-1</f>
        <v>-0.30215827338129497</v>
      </c>
      <c r="BN55" s="424" t="s">
        <v>127</v>
      </c>
      <c r="BO55" s="425" t="s">
        <v>172</v>
      </c>
      <c r="BP55" s="117"/>
      <c r="BQ55" s="118"/>
      <c r="BR55" s="346">
        <f>BR54/BM54-1</f>
        <v>7.9381443298969012E-2</v>
      </c>
      <c r="BS55" s="424" t="s">
        <v>127</v>
      </c>
      <c r="BT55" s="425">
        <f>BT54/BO54-1</f>
        <v>0.59383753501400549</v>
      </c>
      <c r="BU55" s="118"/>
      <c r="BV55" s="346"/>
      <c r="BW55" s="346">
        <f>BW54/BR54-1</f>
        <v>8.0229226361031358E-2</v>
      </c>
      <c r="BX55" s="424" t="s">
        <v>127</v>
      </c>
      <c r="BY55" s="425">
        <v>0.18099999999999999</v>
      </c>
      <c r="BZ55" s="118"/>
      <c r="CA55" s="346"/>
      <c r="CB55" s="346">
        <v>0.34924845269672855</v>
      </c>
      <c r="CC55" s="424" t="s">
        <v>127</v>
      </c>
      <c r="CD55" s="425">
        <v>0.747</v>
      </c>
      <c r="CE55" s="118"/>
      <c r="CF55" s="346"/>
      <c r="CG55" s="346"/>
    </row>
    <row r="56" spans="1:85">
      <c r="A56" s="328" t="s">
        <v>142</v>
      </c>
      <c r="B56" s="288"/>
      <c r="C56" s="334">
        <v>3.9028620988725065E-3</v>
      </c>
      <c r="D56" s="290">
        <v>0.10178282009724472</v>
      </c>
      <c r="E56" s="290">
        <v>0.13701372997711669</v>
      </c>
      <c r="F56" s="291">
        <v>3.5813768404297654E-2</v>
      </c>
      <c r="G56" s="335">
        <v>7.8245614035087716E-2</v>
      </c>
      <c r="H56" s="334">
        <f t="shared" ref="H56:P56" si="33">+H54/H19</f>
        <v>-2.5968497232865047E-2</v>
      </c>
      <c r="I56" s="290">
        <f t="shared" si="33"/>
        <v>8.6231675768899119E-2</v>
      </c>
      <c r="J56" s="290">
        <f t="shared" si="33"/>
        <v>9.5579450418160086E-2</v>
      </c>
      <c r="K56" s="291">
        <f t="shared" si="33"/>
        <v>1.025010250102501E-2</v>
      </c>
      <c r="L56" s="291">
        <f t="shared" si="33"/>
        <v>5.0279810589754628E-2</v>
      </c>
      <c r="M56" s="335">
        <f t="shared" si="33"/>
        <v>5.0279810589754628E-2</v>
      </c>
      <c r="N56" s="334">
        <f t="shared" si="33"/>
        <v>-5.9336823734729496E-2</v>
      </c>
      <c r="O56" s="290">
        <f t="shared" si="33"/>
        <v>4.5667813575226777E-2</v>
      </c>
      <c r="P56" s="290">
        <f t="shared" si="33"/>
        <v>7.3748902546093065E-2</v>
      </c>
      <c r="Q56" s="291">
        <v>-0.13564660194174757</v>
      </c>
      <c r="R56" s="335">
        <v>-7.6029962546816481E-3</v>
      </c>
      <c r="S56" s="334">
        <f t="shared" ref="S56:Y56" si="34">+S54/S19</f>
        <v>-5.9336823734729496E-2</v>
      </c>
      <c r="T56" s="290">
        <f t="shared" si="34"/>
        <v>4.5667813575226777E-2</v>
      </c>
      <c r="U56" s="290">
        <f t="shared" si="34"/>
        <v>7.3748902546093106E-2</v>
      </c>
      <c r="V56" s="291">
        <f t="shared" si="34"/>
        <v>-0.13553398058252428</v>
      </c>
      <c r="W56" s="335">
        <f t="shared" si="34"/>
        <v>-7.5777371309119412E-3</v>
      </c>
      <c r="X56" s="334">
        <f t="shared" si="34"/>
        <v>-6.8600368324125235E-2</v>
      </c>
      <c r="Y56" s="290">
        <f t="shared" si="34"/>
        <v>4.9918962722852511E-2</v>
      </c>
      <c r="Z56" s="290"/>
      <c r="AA56" s="290">
        <f t="shared" ref="AA56:AI56" si="35">+AA54/AA19</f>
        <v>0.1128451380552221</v>
      </c>
      <c r="AB56" s="291">
        <f t="shared" si="35"/>
        <v>-6.0802594244021083E-3</v>
      </c>
      <c r="AC56" s="335">
        <f t="shared" si="35"/>
        <v>3.3104196816208395E-2</v>
      </c>
      <c r="AD56" s="334">
        <f t="shared" si="35"/>
        <v>-4.8732943469785579E-2</v>
      </c>
      <c r="AE56" s="290">
        <f t="shared" si="35"/>
        <v>0.10951585976627712</v>
      </c>
      <c r="AF56" s="290">
        <f t="shared" si="35"/>
        <v>4.5175351694075688E-2</v>
      </c>
      <c r="AG56" s="290">
        <f t="shared" si="35"/>
        <v>0.10653034300791556</v>
      </c>
      <c r="AH56" s="291">
        <f t="shared" si="35"/>
        <v>-1.2591389114541024E-2</v>
      </c>
      <c r="AI56" s="335">
        <f t="shared" si="35"/>
        <v>4.9331182999715402E-2</v>
      </c>
      <c r="AJ56" s="342" t="s">
        <v>127</v>
      </c>
      <c r="AK56" s="290">
        <f>+AK54/AK19</f>
        <v>8.30495648883844E-2</v>
      </c>
      <c r="AL56" s="292" t="s">
        <v>127</v>
      </c>
      <c r="AM56" s="293" t="s">
        <v>127</v>
      </c>
      <c r="AN56" s="335">
        <f>+AN54/AN19</f>
        <v>8.0036630036630044E-2</v>
      </c>
      <c r="AO56" s="342" t="s">
        <v>127</v>
      </c>
      <c r="AP56" s="290">
        <f>+AP54/AP19</f>
        <v>7.4981017463933194E-2</v>
      </c>
      <c r="AQ56" s="292" t="s">
        <v>127</v>
      </c>
      <c r="AR56" s="293" t="s">
        <v>127</v>
      </c>
      <c r="AS56" s="347">
        <f>+AS54/AS19</f>
        <v>8.4902211661487842E-2</v>
      </c>
      <c r="AT56" s="342" t="s">
        <v>127</v>
      </c>
      <c r="AU56" s="290">
        <v>5.6000000000000001E-2</v>
      </c>
      <c r="AV56" s="292" t="s">
        <v>127</v>
      </c>
      <c r="AW56" s="293" t="s">
        <v>127</v>
      </c>
      <c r="AX56" s="335">
        <f>+AX54/AX19</f>
        <v>7.8063746378046694E-2</v>
      </c>
      <c r="AY56" s="342" t="s">
        <v>127</v>
      </c>
      <c r="AZ56" s="290">
        <v>0.09</v>
      </c>
      <c r="BA56" s="292" t="s">
        <v>127</v>
      </c>
      <c r="BB56" s="293" t="s">
        <v>127</v>
      </c>
      <c r="BC56" s="347">
        <v>0.1</v>
      </c>
      <c r="BD56" s="342" t="s">
        <v>127</v>
      </c>
      <c r="BE56" s="290">
        <v>7.6999999999999999E-2</v>
      </c>
      <c r="BF56" s="292" t="s">
        <v>127</v>
      </c>
      <c r="BG56" s="293" t="s">
        <v>127</v>
      </c>
      <c r="BH56" s="347">
        <v>0.10299999999999999</v>
      </c>
      <c r="BI56" s="342" t="s">
        <v>127</v>
      </c>
      <c r="BJ56" s="290">
        <v>3.1E-2</v>
      </c>
      <c r="BK56" s="292"/>
      <c r="BL56" s="293" t="s">
        <v>127</v>
      </c>
      <c r="BM56" s="347">
        <v>8.3000000000000004E-2</v>
      </c>
      <c r="BN56" s="426" t="s">
        <v>127</v>
      </c>
      <c r="BO56" s="427">
        <v>5.8999999999999997E-2</v>
      </c>
      <c r="BP56" s="292"/>
      <c r="BQ56" s="293"/>
      <c r="BR56" s="347">
        <v>7.6999999999999999E-2</v>
      </c>
      <c r="BS56" s="426" t="s">
        <v>127</v>
      </c>
      <c r="BT56" s="427">
        <v>7.1999999999999995E-2</v>
      </c>
      <c r="BU56" s="293"/>
      <c r="BV56" s="347"/>
      <c r="BW56" s="347">
        <v>6.6000000000000003E-2</v>
      </c>
      <c r="BX56" s="426" t="s">
        <v>127</v>
      </c>
      <c r="BY56" s="427">
        <v>6.8000000000000005E-2</v>
      </c>
      <c r="BZ56" s="293"/>
      <c r="CA56" s="347"/>
      <c r="CB56" s="347">
        <v>7.3063295987742985E-2</v>
      </c>
      <c r="CC56" s="426" t="s">
        <v>127</v>
      </c>
      <c r="CD56" s="427">
        <v>0.105</v>
      </c>
      <c r="CE56" s="293"/>
      <c r="CF56" s="347"/>
      <c r="CG56" s="347"/>
    </row>
    <row r="57" spans="1:85" s="90" customFormat="1">
      <c r="A57" s="326" t="s">
        <v>15</v>
      </c>
      <c r="B57" s="72">
        <f>'Annual Segmental Analysis'!C34</f>
        <v>254.9</v>
      </c>
      <c r="C57" s="223">
        <v>7.7</v>
      </c>
      <c r="D57" s="111">
        <v>129.5</v>
      </c>
      <c r="E57" s="111">
        <v>136</v>
      </c>
      <c r="F57" s="112">
        <v>18.600000000000001</v>
      </c>
      <c r="G57" s="225">
        <v>291.8</v>
      </c>
      <c r="H57" s="223">
        <v>-9.8000000000000007</v>
      </c>
      <c r="I57" s="111">
        <v>87.7</v>
      </c>
      <c r="J57" s="111">
        <v>84.8</v>
      </c>
      <c r="K57" s="112">
        <v>38.6</v>
      </c>
      <c r="L57" s="112">
        <f>SUM(H57:K57)</f>
        <v>201.29999999999998</v>
      </c>
      <c r="M57" s="225">
        <v>190.5</v>
      </c>
      <c r="N57" s="223">
        <v>-7.7</v>
      </c>
      <c r="O57" s="111">
        <v>110</v>
      </c>
      <c r="P57" s="111">
        <v>119.6</v>
      </c>
      <c r="Q57" s="112">
        <v>42.622</v>
      </c>
      <c r="R57" s="225">
        <v>264.5</v>
      </c>
      <c r="S57" s="223">
        <v>-7.4</v>
      </c>
      <c r="T57" s="111">
        <v>105.8</v>
      </c>
      <c r="U57" s="111">
        <f>W57-T57-S57-V57</f>
        <v>110.90000000000003</v>
      </c>
      <c r="V57" s="112">
        <v>44.6</v>
      </c>
      <c r="W57" s="225">
        <v>253.9</v>
      </c>
      <c r="X57" s="223">
        <v>0.2</v>
      </c>
      <c r="Y57" s="111">
        <v>99.4</v>
      </c>
      <c r="Z57" s="111">
        <f>Y57+X57</f>
        <v>99.600000000000009</v>
      </c>
      <c r="AA57" s="111">
        <v>96.5</v>
      </c>
      <c r="AB57" s="112">
        <v>52.4</v>
      </c>
      <c r="AC57" s="225">
        <v>248.5</v>
      </c>
      <c r="AD57" s="223">
        <v>-8.1</v>
      </c>
      <c r="AE57" s="111">
        <v>90.5</v>
      </c>
      <c r="AF57" s="111">
        <v>82.4</v>
      </c>
      <c r="AG57" s="111">
        <v>96.2</v>
      </c>
      <c r="AH57" s="112">
        <v>6.8</v>
      </c>
      <c r="AI57" s="225">
        <v>185.4</v>
      </c>
      <c r="AJ57" s="340" t="s">
        <v>127</v>
      </c>
      <c r="AK57" s="111">
        <v>82</v>
      </c>
      <c r="AL57" s="113" t="s">
        <v>127</v>
      </c>
      <c r="AM57" s="114" t="s">
        <v>127</v>
      </c>
      <c r="AN57" s="225">
        <v>159.5</v>
      </c>
      <c r="AO57" s="340" t="s">
        <v>127</v>
      </c>
      <c r="AP57" s="111">
        <v>83.6</v>
      </c>
      <c r="AQ57" s="113" t="s">
        <v>127</v>
      </c>
      <c r="AR57" s="114" t="s">
        <v>127</v>
      </c>
      <c r="AS57" s="224">
        <v>176.6</v>
      </c>
      <c r="AT57" s="340" t="s">
        <v>127</v>
      </c>
      <c r="AU57" s="111">
        <v>136.19999999999999</v>
      </c>
      <c r="AV57" s="113" t="s">
        <v>127</v>
      </c>
      <c r="AW57" s="114" t="s">
        <v>127</v>
      </c>
      <c r="AX57" s="224">
        <v>259.89999999999998</v>
      </c>
      <c r="AY57" s="340" t="s">
        <v>127</v>
      </c>
      <c r="AZ57" s="111">
        <v>140.19999999999999</v>
      </c>
      <c r="BA57" s="113" t="s">
        <v>127</v>
      </c>
      <c r="BB57" s="114" t="s">
        <v>127</v>
      </c>
      <c r="BC57" s="224">
        <v>276.7</v>
      </c>
      <c r="BD57" s="340" t="s">
        <v>127</v>
      </c>
      <c r="BE57" s="111">
        <v>147.19999999999999</v>
      </c>
      <c r="BF57" s="113" t="s">
        <v>127</v>
      </c>
      <c r="BG57" s="114" t="s">
        <v>127</v>
      </c>
      <c r="BH57" s="224">
        <v>340.3</v>
      </c>
      <c r="BI57" s="340" t="s">
        <v>127</v>
      </c>
      <c r="BJ57" s="111">
        <v>140.19999999999999</v>
      </c>
      <c r="BK57" s="113"/>
      <c r="BL57" s="114" t="s">
        <v>127</v>
      </c>
      <c r="BM57" s="224">
        <v>360.4</v>
      </c>
      <c r="BN57" s="422" t="s">
        <v>127</v>
      </c>
      <c r="BO57" s="423">
        <v>203.8</v>
      </c>
      <c r="BP57" s="113"/>
      <c r="BQ57" s="114"/>
      <c r="BR57" s="224">
        <v>409</v>
      </c>
      <c r="BS57" s="422" t="s">
        <v>127</v>
      </c>
      <c r="BT57" s="423">
        <v>71.400000000000006</v>
      </c>
      <c r="BU57" s="114"/>
      <c r="BV57" s="224"/>
      <c r="BW57" s="224">
        <v>280.3</v>
      </c>
      <c r="BX57" s="422" t="s">
        <v>127</v>
      </c>
      <c r="BY57" s="423">
        <v>319.3</v>
      </c>
      <c r="BZ57" s="114"/>
      <c r="CA57" s="224"/>
      <c r="CB57" s="224">
        <v>421.8</v>
      </c>
      <c r="CC57" s="422" t="s">
        <v>127</v>
      </c>
      <c r="CD57" s="423">
        <v>254.7</v>
      </c>
      <c r="CE57" s="114"/>
      <c r="CF57" s="224"/>
      <c r="CG57" s="224"/>
    </row>
    <row r="58" spans="1:85">
      <c r="A58" s="327" t="s">
        <v>141</v>
      </c>
      <c r="B58" s="168"/>
      <c r="C58" s="332">
        <v>-9.4117647058823514E-2</v>
      </c>
      <c r="D58" s="115">
        <v>0.11445783132530117</v>
      </c>
      <c r="E58" s="115">
        <v>0.39487179487179486</v>
      </c>
      <c r="F58" s="116">
        <v>-0.43119266055045874</v>
      </c>
      <c r="G58" s="333">
        <v>0.14476265202040017</v>
      </c>
      <c r="H58" s="332">
        <f>+H57/C57-1</f>
        <v>-2.2727272727272725</v>
      </c>
      <c r="I58" s="115">
        <f>+I57/D57-1</f>
        <v>-0.32277992277992273</v>
      </c>
      <c r="J58" s="115">
        <f>+J57/E57-1</f>
        <v>-0.37647058823529411</v>
      </c>
      <c r="K58" s="116">
        <f>+K57/F57-1</f>
        <v>1.075268817204301</v>
      </c>
      <c r="L58" s="116">
        <f>L57/G57-1</f>
        <v>-0.31014393420150799</v>
      </c>
      <c r="M58" s="333">
        <f>M57/G57-1</f>
        <v>-0.34715558601782048</v>
      </c>
      <c r="N58" s="332">
        <f>+N57/H57-1</f>
        <v>-0.2142857142857143</v>
      </c>
      <c r="O58" s="115">
        <f>+O57/I57-1</f>
        <v>0.25427594070695547</v>
      </c>
      <c r="P58" s="115">
        <f>+P57/J57-1</f>
        <v>0.41037735849056611</v>
      </c>
      <c r="Q58" s="116">
        <f>+Q57/K57-1</f>
        <v>0.10419689119170972</v>
      </c>
      <c r="R58" s="333">
        <f>+R57/L57-1</f>
        <v>0.3139592647789371</v>
      </c>
      <c r="S58" s="332" t="s">
        <v>61</v>
      </c>
      <c r="T58" s="115" t="s">
        <v>61</v>
      </c>
      <c r="U58" s="115" t="s">
        <v>61</v>
      </c>
      <c r="V58" s="116" t="e">
        <f>V57/AM57-1</f>
        <v>#VALUE!</v>
      </c>
      <c r="W58" s="333">
        <f>W57/M57-1</f>
        <v>0.33280839895013137</v>
      </c>
      <c r="X58" s="332" t="str">
        <f>IF(OR(((X57-S57)/S57)&gt;=100%,((X57-S57)/S57)&lt;=-100%),"&gt;100%",((X57-S57)/ABS(S57)))</f>
        <v>&gt;100%</v>
      </c>
      <c r="Y58" s="115">
        <f>IF(OR(((Y57-T57)/T57)&gt;=100%,((Y57-T57)/T57)&lt;=-100%),"&gt;100%",((Y57-T57)/ABS(T57)))</f>
        <v>-6.049149338374283E-2</v>
      </c>
      <c r="Z58" s="115"/>
      <c r="AA58" s="115">
        <f t="shared" ref="AA58:AI58" si="36">IF(OR(((AA57-U57)/U57)&gt;=100%,((AA57-U57)/U57)&lt;=-100%),"&gt;100%",((AA57-U57)/ABS(U57)))</f>
        <v>-0.12984670874661886</v>
      </c>
      <c r="AB58" s="116">
        <f t="shared" si="36"/>
        <v>0.17488789237668154</v>
      </c>
      <c r="AC58" s="333">
        <f t="shared" si="36"/>
        <v>-2.1268215833005141E-2</v>
      </c>
      <c r="AD58" s="332" t="str">
        <f t="shared" si="36"/>
        <v>&gt;100%</v>
      </c>
      <c r="AE58" s="115">
        <f t="shared" si="36"/>
        <v>-8.9537223340040287E-2</v>
      </c>
      <c r="AF58" s="115">
        <f t="shared" si="36"/>
        <v>-0.17269076305220885</v>
      </c>
      <c r="AG58" s="115">
        <f t="shared" si="36"/>
        <v>-3.1088082901554108E-3</v>
      </c>
      <c r="AH58" s="116">
        <f t="shared" si="36"/>
        <v>-0.87022900763358779</v>
      </c>
      <c r="AI58" s="333">
        <f t="shared" si="36"/>
        <v>-0.2539235412474849</v>
      </c>
      <c r="AJ58" s="341" t="s">
        <v>127</v>
      </c>
      <c r="AK58" s="115">
        <f>IF(OR(((AK57-AF57)/AF57)&gt;=100%,((AK57-AF57)/AF57)&lt;=-100%),"&gt;100%",((AK57-AF57)/ABS(AF57)))</f>
        <v>-4.8543689320389039E-3</v>
      </c>
      <c r="AL58" s="117" t="s">
        <v>127</v>
      </c>
      <c r="AM58" s="118" t="s">
        <v>127</v>
      </c>
      <c r="AN58" s="333">
        <f>IF(OR(((AN57-AI57)/AI57)&gt;=100%,((AN57-AI57)/AI57)&lt;=-100%),"&gt;100%",((AN57-AI57)/ABS(AI57)))</f>
        <v>-0.13969795037756205</v>
      </c>
      <c r="AO58" s="341" t="s">
        <v>127</v>
      </c>
      <c r="AP58" s="115">
        <f>ROUND(AP57,2)/ROUND(AK57,2)-1</f>
        <v>1.9512195121951237E-2</v>
      </c>
      <c r="AQ58" s="117" t="s">
        <v>127</v>
      </c>
      <c r="AR58" s="118" t="s">
        <v>127</v>
      </c>
      <c r="AS58" s="346">
        <f>IF(OR(((AS57-AN57)/AN57)&gt;=100%,((AS57-AN57)/AN57)&lt;=-100%),"&gt;100%",((AS57-AN57)/ABS(AN57)))</f>
        <v>0.10721003134796235</v>
      </c>
      <c r="AT58" s="341" t="s">
        <v>127</v>
      </c>
      <c r="AU58" s="115">
        <f>ROUND(AU57,2)/ROUND(AP57,2)-1</f>
        <v>0.62918660287081329</v>
      </c>
      <c r="AV58" s="117" t="s">
        <v>127</v>
      </c>
      <c r="AW58" s="118" t="s">
        <v>127</v>
      </c>
      <c r="AX58" s="333">
        <f>ROUND(AX57,2)/ROUND(AS57,2)-1</f>
        <v>0.47168742921857287</v>
      </c>
      <c r="AY58" s="341" t="s">
        <v>127</v>
      </c>
      <c r="AZ58" s="115">
        <f>ROUND(AZ57,2)/ROUND(AU57,2)-1</f>
        <v>2.9368575624082238E-2</v>
      </c>
      <c r="BA58" s="117" t="s">
        <v>127</v>
      </c>
      <c r="BB58" s="118" t="s">
        <v>127</v>
      </c>
      <c r="BC58" s="346">
        <f>BC57/AX57-1</f>
        <v>6.4640246248557132E-2</v>
      </c>
      <c r="BD58" s="341" t="s">
        <v>127</v>
      </c>
      <c r="BE58" s="115">
        <f>ROUND(BE57,2)/ROUND(AZ57,2)-1</f>
        <v>4.9928673323823114E-2</v>
      </c>
      <c r="BF58" s="117" t="s">
        <v>127</v>
      </c>
      <c r="BG58" s="118" t="s">
        <v>127</v>
      </c>
      <c r="BH58" s="346">
        <f>BH57/BC57-1</f>
        <v>0.22985182508131552</v>
      </c>
      <c r="BI58" s="341" t="s">
        <v>127</v>
      </c>
      <c r="BJ58" s="115">
        <v>-4.7554347826086918E-2</v>
      </c>
      <c r="BK58" s="117"/>
      <c r="BL58" s="118" t="s">
        <v>127</v>
      </c>
      <c r="BM58" s="346">
        <f>BM57/BH57-1</f>
        <v>5.9065530414340151E-2</v>
      </c>
      <c r="BN58" s="424" t="s">
        <v>127</v>
      </c>
      <c r="BO58" s="425">
        <v>0.45400000000000001</v>
      </c>
      <c r="BP58" s="117"/>
      <c r="BQ58" s="118"/>
      <c r="BR58" s="346">
        <f>BR57/BM57-1</f>
        <v>0.13485016648168702</v>
      </c>
      <c r="BS58" s="424" t="s">
        <v>127</v>
      </c>
      <c r="BT58" s="425">
        <f>BT57/BO57-1</f>
        <v>-0.64965652600588819</v>
      </c>
      <c r="BU58" s="118"/>
      <c r="BV58" s="346"/>
      <c r="BW58" s="346">
        <f>BW57/BR57-1</f>
        <v>-0.31466992665036675</v>
      </c>
      <c r="BX58" s="424" t="s">
        <v>127</v>
      </c>
      <c r="BY58" s="425" t="s">
        <v>83</v>
      </c>
      <c r="BZ58" s="118"/>
      <c r="CA58" s="346"/>
      <c r="CB58" s="346">
        <v>0.50481626828398141</v>
      </c>
      <c r="CC58" s="424" t="s">
        <v>127</v>
      </c>
      <c r="CD58" s="425">
        <v>-0.20200000000000001</v>
      </c>
      <c r="CE58" s="118"/>
      <c r="CF58" s="346"/>
      <c r="CG58" s="346"/>
    </row>
    <row r="59" spans="1:85">
      <c r="A59" s="328" t="s">
        <v>142</v>
      </c>
      <c r="B59" s="288"/>
      <c r="C59" s="334">
        <v>1.4745308310991957E-2</v>
      </c>
      <c r="D59" s="290">
        <v>0.15700775945683804</v>
      </c>
      <c r="E59" s="290">
        <v>0.15793752177447451</v>
      </c>
      <c r="F59" s="291">
        <v>3.0446881650024557E-2</v>
      </c>
      <c r="G59" s="335">
        <v>0.10351188364668322</v>
      </c>
      <c r="H59" s="334">
        <f t="shared" ref="H59:Y59" si="37">+H57/H21</f>
        <v>-1.7509380025013399E-2</v>
      </c>
      <c r="I59" s="290">
        <f t="shared" si="37"/>
        <v>0.10545935545935546</v>
      </c>
      <c r="J59" s="290">
        <f t="shared" si="37"/>
        <v>0.10416410760348851</v>
      </c>
      <c r="K59" s="291">
        <f t="shared" si="37"/>
        <v>5.6731334509112288E-2</v>
      </c>
      <c r="L59" s="291">
        <f t="shared" si="37"/>
        <v>6.9755353801372225E-2</v>
      </c>
      <c r="M59" s="335">
        <f t="shared" si="37"/>
        <v>6.7362093352192356E-2</v>
      </c>
      <c r="N59" s="334">
        <f t="shared" si="37"/>
        <v>-1.2982633619962906E-2</v>
      </c>
      <c r="O59" s="290">
        <f t="shared" si="37"/>
        <v>0.11690934211924753</v>
      </c>
      <c r="P59" s="290">
        <f t="shared" si="37"/>
        <v>0.12636027469624933</v>
      </c>
      <c r="Q59" s="291">
        <f t="shared" si="37"/>
        <v>5.4882822559876393E-2</v>
      </c>
      <c r="R59" s="335">
        <f t="shared" si="37"/>
        <v>8.1207208866783342E-2</v>
      </c>
      <c r="S59" s="334">
        <f t="shared" si="37"/>
        <v>-1.2671232876712329E-2</v>
      </c>
      <c r="T59" s="290">
        <f t="shared" si="37"/>
        <v>0.11473809782019304</v>
      </c>
      <c r="U59" s="290">
        <f t="shared" si="37"/>
        <v>0.12013866320008666</v>
      </c>
      <c r="V59" s="291">
        <f t="shared" si="37"/>
        <v>5.8254963427377224E-2</v>
      </c>
      <c r="W59" s="335">
        <f t="shared" si="37"/>
        <v>7.9472893451859275E-2</v>
      </c>
      <c r="X59" s="334">
        <f t="shared" si="37"/>
        <v>3.1046258925799441E-4</v>
      </c>
      <c r="Y59" s="290">
        <f t="shared" si="37"/>
        <v>0.10535241123476419</v>
      </c>
      <c r="Z59" s="290"/>
      <c r="AA59" s="290">
        <f t="shared" ref="AA59:AI59" si="38">+AA57/AA21</f>
        <v>0.11120073749711916</v>
      </c>
      <c r="AB59" s="291">
        <f t="shared" si="38"/>
        <v>6.7761541445751972E-2</v>
      </c>
      <c r="AC59" s="335">
        <f t="shared" si="38"/>
        <v>7.6963577799801786E-2</v>
      </c>
      <c r="AD59" s="334">
        <f t="shared" si="38"/>
        <v>-1.3545150501672241E-2</v>
      </c>
      <c r="AE59" s="290">
        <f t="shared" si="38"/>
        <v>0.10617081182543407</v>
      </c>
      <c r="AF59" s="290">
        <f t="shared" si="38"/>
        <v>5.6811913954771101E-2</v>
      </c>
      <c r="AG59" s="290">
        <f t="shared" si="38"/>
        <v>0.11271236086701816</v>
      </c>
      <c r="AH59" s="291">
        <f t="shared" si="38"/>
        <v>9.6687046779468221E-3</v>
      </c>
      <c r="AI59" s="335">
        <f t="shared" si="38"/>
        <v>6.1652035115722273E-2</v>
      </c>
      <c r="AJ59" s="342" t="s">
        <v>127</v>
      </c>
      <c r="AK59" s="290">
        <f>+AK57/AK21</f>
        <v>5.9192954594672637E-2</v>
      </c>
      <c r="AL59" s="292" t="s">
        <v>127</v>
      </c>
      <c r="AM59" s="293" t="s">
        <v>127</v>
      </c>
      <c r="AN59" s="335">
        <f>+AN57/AN21</f>
        <v>5.7612816372033408E-2</v>
      </c>
      <c r="AO59" s="342" t="s">
        <v>127</v>
      </c>
      <c r="AP59" s="290">
        <f>+AP57/AP21</f>
        <v>6.3118157795394481E-2</v>
      </c>
      <c r="AQ59" s="292" t="s">
        <v>127</v>
      </c>
      <c r="AR59" s="293" t="s">
        <v>127</v>
      </c>
      <c r="AS59" s="347">
        <f>+AS57/AS21</f>
        <v>6.4997286464282489E-2</v>
      </c>
      <c r="AT59" s="342" t="s">
        <v>127</v>
      </c>
      <c r="AU59" s="290">
        <v>9.4E-2</v>
      </c>
      <c r="AV59" s="292" t="s">
        <v>127</v>
      </c>
      <c r="AW59" s="293" t="s">
        <v>127</v>
      </c>
      <c r="AX59" s="335">
        <f>+AX57/AX21</f>
        <v>8.9242179720495821E-2</v>
      </c>
      <c r="AY59" s="342" t="s">
        <v>127</v>
      </c>
      <c r="AZ59" s="290">
        <v>0.1</v>
      </c>
      <c r="BA59" s="292" t="s">
        <v>127</v>
      </c>
      <c r="BB59" s="293" t="s">
        <v>127</v>
      </c>
      <c r="BC59" s="347">
        <v>9.6000000000000002E-2</v>
      </c>
      <c r="BD59" s="342" t="s">
        <v>127</v>
      </c>
      <c r="BE59" s="290">
        <v>0.1</v>
      </c>
      <c r="BF59" s="292" t="s">
        <v>127</v>
      </c>
      <c r="BG59" s="293" t="s">
        <v>127</v>
      </c>
      <c r="BH59" s="347">
        <v>0.108</v>
      </c>
      <c r="BI59" s="342" t="s">
        <v>127</v>
      </c>
      <c r="BJ59" s="290">
        <v>0.106</v>
      </c>
      <c r="BK59" s="292"/>
      <c r="BL59" s="293" t="s">
        <v>127</v>
      </c>
      <c r="BM59" s="347">
        <v>0.129</v>
      </c>
      <c r="BN59" s="426" t="s">
        <v>127</v>
      </c>
      <c r="BO59" s="427">
        <v>0.13600000000000001</v>
      </c>
      <c r="BP59" s="292"/>
      <c r="BQ59" s="293"/>
      <c r="BR59" s="347">
        <v>0.123</v>
      </c>
      <c r="BS59" s="426" t="s">
        <v>127</v>
      </c>
      <c r="BT59" s="427">
        <v>3.5000000000000003E-2</v>
      </c>
      <c r="BU59" s="293"/>
      <c r="BV59" s="347"/>
      <c r="BW59" s="347">
        <v>6.2E-2</v>
      </c>
      <c r="BX59" s="426" t="s">
        <v>127</v>
      </c>
      <c r="BY59" s="427">
        <v>0.13300000000000001</v>
      </c>
      <c r="BZ59" s="293"/>
      <c r="CA59" s="347"/>
      <c r="CB59" s="347">
        <v>8.9045578331820405E-2</v>
      </c>
      <c r="CC59" s="426" t="s">
        <v>127</v>
      </c>
      <c r="CD59" s="427">
        <v>0.109</v>
      </c>
      <c r="CE59" s="293"/>
      <c r="CF59" s="347"/>
      <c r="CG59" s="347"/>
    </row>
    <row r="60" spans="1:85" s="91" customFormat="1">
      <c r="A60" s="329" t="s">
        <v>140</v>
      </c>
      <c r="B60" s="75">
        <f>'Annual Segmental Analysis'!C37</f>
        <v>638.79999999999995</v>
      </c>
      <c r="C60" s="221">
        <v>52.4</v>
      </c>
      <c r="D60" s="119">
        <v>263.7</v>
      </c>
      <c r="E60" s="119">
        <v>287.2</v>
      </c>
      <c r="F60" s="120">
        <v>46.6</v>
      </c>
      <c r="G60" s="222">
        <v>649.9</v>
      </c>
      <c r="H60" s="221">
        <f t="shared" ref="H60:R60" si="39">+H57+H54+H51</f>
        <v>17.600000000000001</v>
      </c>
      <c r="I60" s="119">
        <f t="shared" si="39"/>
        <v>214.3</v>
      </c>
      <c r="J60" s="119">
        <f t="shared" si="39"/>
        <v>211.2</v>
      </c>
      <c r="K60" s="120">
        <f t="shared" si="39"/>
        <v>25.3</v>
      </c>
      <c r="L60" s="120">
        <f>SUM(H60:K60)</f>
        <v>468.40000000000003</v>
      </c>
      <c r="M60" s="222">
        <f>+M57+M54+M51</f>
        <v>450.3</v>
      </c>
      <c r="N60" s="221">
        <f t="shared" si="39"/>
        <v>-12.8</v>
      </c>
      <c r="O60" s="119">
        <f t="shared" si="39"/>
        <v>182.7</v>
      </c>
      <c r="P60" s="119">
        <f t="shared" si="39"/>
        <v>211</v>
      </c>
      <c r="Q60" s="120">
        <f t="shared" si="39"/>
        <v>-30.821000000000012</v>
      </c>
      <c r="R60" s="222">
        <f t="shared" si="39"/>
        <v>350.05700000000002</v>
      </c>
      <c r="S60" s="221">
        <f t="shared" ref="S60:AC60" si="40">+S57+S54+S51</f>
        <v>-12.3</v>
      </c>
      <c r="T60" s="119">
        <f t="shared" si="40"/>
        <v>176.7</v>
      </c>
      <c r="U60" s="119">
        <f t="shared" si="40"/>
        <v>201.70000000000005</v>
      </c>
      <c r="V60" s="120">
        <f t="shared" si="40"/>
        <v>-28.4</v>
      </c>
      <c r="W60" s="222">
        <f t="shared" si="40"/>
        <v>337.70000000000005</v>
      </c>
      <c r="X60" s="221">
        <f t="shared" si="40"/>
        <v>-11.3</v>
      </c>
      <c r="Y60" s="119">
        <f t="shared" si="40"/>
        <v>145.30000000000001</v>
      </c>
      <c r="Z60" s="119">
        <f t="shared" si="40"/>
        <v>134</v>
      </c>
      <c r="AA60" s="119">
        <f t="shared" si="40"/>
        <v>205.6</v>
      </c>
      <c r="AB60" s="120">
        <f t="shared" si="40"/>
        <v>34.099999999999994</v>
      </c>
      <c r="AC60" s="222">
        <f t="shared" si="40"/>
        <v>373.70000000000005</v>
      </c>
      <c r="AD60" s="221">
        <f t="shared" ref="AD60:AI60" si="41">+AD57+AD54+AD51</f>
        <v>-29.200000000000003</v>
      </c>
      <c r="AE60" s="119">
        <f t="shared" si="41"/>
        <v>193.3</v>
      </c>
      <c r="AF60" s="119">
        <f t="shared" si="41"/>
        <v>164.1</v>
      </c>
      <c r="AG60" s="119">
        <f t="shared" si="41"/>
        <v>179.8</v>
      </c>
      <c r="AH60" s="120">
        <f t="shared" si="41"/>
        <v>17.2</v>
      </c>
      <c r="AI60" s="222">
        <f t="shared" si="41"/>
        <v>361.1</v>
      </c>
      <c r="AJ60" s="343" t="s">
        <v>127</v>
      </c>
      <c r="AK60" s="119">
        <f>+AK57+AK54+AK51</f>
        <v>199.10000000000002</v>
      </c>
      <c r="AL60" s="121" t="s">
        <v>127</v>
      </c>
      <c r="AM60" s="122" t="s">
        <v>127</v>
      </c>
      <c r="AN60" s="222">
        <f>+AN57+AN54+AN51</f>
        <v>418.20000000000005</v>
      </c>
      <c r="AO60" s="343" t="s">
        <v>127</v>
      </c>
      <c r="AP60" s="119">
        <v>220.6</v>
      </c>
      <c r="AQ60" s="121" t="s">
        <v>127</v>
      </c>
      <c r="AR60" s="122" t="s">
        <v>127</v>
      </c>
      <c r="AS60" s="220">
        <f>+AS57+AS54+AS51</f>
        <v>506.3</v>
      </c>
      <c r="AT60" s="343" t="s">
        <v>127</v>
      </c>
      <c r="AU60" s="119">
        <v>266.39999999999998</v>
      </c>
      <c r="AV60" s="121" t="s">
        <v>127</v>
      </c>
      <c r="AW60" s="122" t="s">
        <v>127</v>
      </c>
      <c r="AX60" s="220">
        <v>589.79999999999995</v>
      </c>
      <c r="AY60" s="343" t="s">
        <v>127</v>
      </c>
      <c r="AZ60" s="119">
        <v>303.89999999999998</v>
      </c>
      <c r="BA60" s="121" t="s">
        <v>127</v>
      </c>
      <c r="BB60" s="122" t="s">
        <v>127</v>
      </c>
      <c r="BC60" s="220">
        <v>639.4</v>
      </c>
      <c r="BD60" s="343" t="s">
        <v>127</v>
      </c>
      <c r="BE60" s="119">
        <v>288.89999999999998</v>
      </c>
      <c r="BF60" s="121" t="s">
        <v>127</v>
      </c>
      <c r="BG60" s="122" t="s">
        <v>127</v>
      </c>
      <c r="BH60" s="220">
        <v>715.3</v>
      </c>
      <c r="BI60" s="343" t="s">
        <v>127</v>
      </c>
      <c r="BJ60" s="119">
        <v>202.9</v>
      </c>
      <c r="BK60" s="121"/>
      <c r="BL60" s="122" t="s">
        <v>127</v>
      </c>
      <c r="BM60" s="220">
        <v>660.7</v>
      </c>
      <c r="BN60" s="428" t="s">
        <v>127</v>
      </c>
      <c r="BO60" s="429">
        <v>350.1</v>
      </c>
      <c r="BP60" s="121"/>
      <c r="BQ60" s="122"/>
      <c r="BR60" s="220">
        <v>799.3</v>
      </c>
      <c r="BS60" s="428" t="s">
        <v>127</v>
      </c>
      <c r="BT60" s="429">
        <v>275.7</v>
      </c>
      <c r="BU60" s="122"/>
      <c r="BV60" s="220"/>
      <c r="BW60" s="220">
        <v>703.8</v>
      </c>
      <c r="BX60" s="428" t="s">
        <v>127</v>
      </c>
      <c r="BY60" s="429">
        <v>557.29999999999995</v>
      </c>
      <c r="BZ60" s="122"/>
      <c r="CA60" s="220"/>
      <c r="CB60" s="220">
        <v>953.6</v>
      </c>
      <c r="CC60" s="428" t="s">
        <v>127</v>
      </c>
      <c r="CD60" s="429">
        <v>566.1</v>
      </c>
      <c r="CE60" s="122"/>
      <c r="CF60" s="220"/>
      <c r="CG60" s="220"/>
    </row>
    <row r="61" spans="1:85" s="53" customFormat="1">
      <c r="A61" s="330" t="s">
        <v>141</v>
      </c>
      <c r="B61" s="44"/>
      <c r="C61" s="336">
        <v>0.42391304347826092</v>
      </c>
      <c r="D61" s="123">
        <v>-3.0245746691871887E-3</v>
      </c>
      <c r="E61" s="123">
        <v>4.5884923525127332E-2</v>
      </c>
      <c r="F61" s="124">
        <v>-0.25914149443561202</v>
      </c>
      <c r="G61" s="337">
        <v>1.7376330619912395E-2</v>
      </c>
      <c r="H61" s="336">
        <f>+H60/C60-1</f>
        <v>-0.66412213740458004</v>
      </c>
      <c r="I61" s="123">
        <f>+I60/D60-1</f>
        <v>-0.18733409177095173</v>
      </c>
      <c r="J61" s="123">
        <f>+J60/E60-1</f>
        <v>-0.26462395543175488</v>
      </c>
      <c r="K61" s="124">
        <f>+K60/F60-1</f>
        <v>-0.4570815450643777</v>
      </c>
      <c r="L61" s="124">
        <f>L60/G60-1</f>
        <v>-0.27927373442068004</v>
      </c>
      <c r="M61" s="337">
        <f>M60/G60-1</f>
        <v>-0.30712417294968453</v>
      </c>
      <c r="N61" s="336">
        <f>+N60/H60-1</f>
        <v>-1.7272727272727273</v>
      </c>
      <c r="O61" s="123">
        <f>+O60/I60-1</f>
        <v>-0.14745683621091932</v>
      </c>
      <c r="P61" s="123">
        <f>+P60/J60-1</f>
        <v>-9.4696969696961286E-4</v>
      </c>
      <c r="Q61" s="124">
        <v>-2.2165612648221331</v>
      </c>
      <c r="R61" s="337">
        <v>-0.25251707941929968</v>
      </c>
      <c r="S61" s="336" t="s">
        <v>61</v>
      </c>
      <c r="T61" s="123" t="s">
        <v>61</v>
      </c>
      <c r="U61" s="123" t="s">
        <v>61</v>
      </c>
      <c r="V61" s="124" t="s">
        <v>61</v>
      </c>
      <c r="W61" s="337">
        <f>W60/M60-1</f>
        <v>-0.2500555185431933</v>
      </c>
      <c r="X61" s="336">
        <f>IF(OR(((X60-S60)/S60)&gt;=100%,((X60-S60)/S60)&lt;=-100%),"&gt;100%",((X60-S60)/ABS(S60)))</f>
        <v>8.1300813008130079E-2</v>
      </c>
      <c r="Y61" s="123">
        <f>IF(OR(((Y60-T60)/T60)&gt;=100%,((Y60-T60)/T60)&lt;=-100%),"&gt;100%",((Y60-T60)/ABS(T60)))</f>
        <v>-0.17770232031692121</v>
      </c>
      <c r="Z61" s="123"/>
      <c r="AA61" s="123">
        <f t="shared" ref="AA61:AI61" si="42">IF(OR(((AA60-U60)/U60)&gt;=100%,((AA60-U60)/U60)&lt;=-100%),"&gt;100%",((AA60-U60)/ABS(U60)))</f>
        <v>1.9335647000495528E-2</v>
      </c>
      <c r="AB61" s="124" t="str">
        <f t="shared" si="42"/>
        <v>&gt;100%</v>
      </c>
      <c r="AC61" s="337">
        <f t="shared" si="42"/>
        <v>0.10660349422564405</v>
      </c>
      <c r="AD61" s="336" t="str">
        <f t="shared" si="42"/>
        <v>&gt;100%</v>
      </c>
      <c r="AE61" s="123">
        <f t="shared" si="42"/>
        <v>0.33035099793530626</v>
      </c>
      <c r="AF61" s="123">
        <f t="shared" si="42"/>
        <v>0.22462686567164175</v>
      </c>
      <c r="AG61" s="123">
        <f t="shared" si="42"/>
        <v>-0.12548638132295711</v>
      </c>
      <c r="AH61" s="124">
        <f t="shared" si="42"/>
        <v>-0.49560117302052781</v>
      </c>
      <c r="AI61" s="337">
        <f t="shared" si="42"/>
        <v>-3.3716885202033774E-2</v>
      </c>
      <c r="AJ61" s="344" t="s">
        <v>127</v>
      </c>
      <c r="AK61" s="123">
        <f>IF(OR(((AK60-AF60)/AF60)&gt;=100%,((AK60-AF60)/AF60)&lt;=-100%),"&gt;100%",((AK60-AF60)/ABS(AF60)))</f>
        <v>0.21328458257160285</v>
      </c>
      <c r="AL61" s="125" t="s">
        <v>127</v>
      </c>
      <c r="AM61" s="126" t="s">
        <v>127</v>
      </c>
      <c r="AN61" s="337">
        <f>IF(OR(((AN60-AI60)/AI60)&gt;=100%,((AN60-AI60)/AI60)&lt;=-100%),"&gt;100%",((AN60-AI60)/ABS(AI60)))</f>
        <v>0.15812794239822769</v>
      </c>
      <c r="AO61" s="344" t="s">
        <v>127</v>
      </c>
      <c r="AP61" s="123">
        <f>IF(OR(((AP60-AK60)/AK60)&gt;=100%,((AP60-AK60)/AK60)&lt;=-100%),"&gt;100%",((AP60-AK60)/ABS(AK60)))</f>
        <v>0.10798593671521833</v>
      </c>
      <c r="AQ61" s="125" t="s">
        <v>127</v>
      </c>
      <c r="AR61" s="126" t="s">
        <v>127</v>
      </c>
      <c r="AS61" s="348">
        <f>IF(OR(((AS60-AN60)/AN60)&gt;=100%,((AS60-AN60)/AN60)&lt;=-100%),"&gt;100%",((AS60-AN60)/ABS(AN60)))</f>
        <v>0.21066475370636048</v>
      </c>
      <c r="AT61" s="344" t="s">
        <v>127</v>
      </c>
      <c r="AU61" s="123">
        <f>IF(OR(((AU60-AP60)/AP60)&gt;=100%,((AU60-AP60)/AP60)&lt;=-100%),"&gt;100%",((AU60-AP60)/ABS(AP60)))</f>
        <v>0.20761559383499539</v>
      </c>
      <c r="AV61" s="125" t="s">
        <v>127</v>
      </c>
      <c r="AW61" s="126" t="s">
        <v>127</v>
      </c>
      <c r="AX61" s="337">
        <f>IF(OR(((AX60-AS60)/AS60)&gt;=100%,((AX60-AS60)/AS60)&lt;=-100%),"&gt;100%",((AX60-AS60)/ABS(AS60)))</f>
        <v>0.16492198301402319</v>
      </c>
      <c r="AY61" s="344" t="s">
        <v>127</v>
      </c>
      <c r="AZ61" s="123">
        <f>IF(OR(((AZ60-AU60)/AU60)&gt;=100%,((AZ60-AU60)/AU60)&lt;=-100%),"&gt;100%",((AZ60-AU60)/ABS(AU60)))</f>
        <v>0.14076576576576577</v>
      </c>
      <c r="BA61" s="125" t="s">
        <v>127</v>
      </c>
      <c r="BB61" s="126" t="s">
        <v>127</v>
      </c>
      <c r="BC61" s="348">
        <f>BC60/AX60-1</f>
        <v>8.409630383180744E-2</v>
      </c>
      <c r="BD61" s="344" t="s">
        <v>127</v>
      </c>
      <c r="BE61" s="123">
        <f>IF(OR(((BE60-AZ60)/AZ60)&gt;=100%,((BE60-AZ60)/AZ60)&lt;=-100%),"&gt;100%",((BE60-AZ60)/ABS(AZ60)))</f>
        <v>-4.9358341559723594E-2</v>
      </c>
      <c r="BF61" s="125" t="s">
        <v>127</v>
      </c>
      <c r="BG61" s="126" t="s">
        <v>127</v>
      </c>
      <c r="BH61" s="348">
        <f>BH60/BC60-1</f>
        <v>0.11870503597122295</v>
      </c>
      <c r="BI61" s="344" t="s">
        <v>127</v>
      </c>
      <c r="BJ61" s="123">
        <v>-0.29768085842852188</v>
      </c>
      <c r="BK61" s="125"/>
      <c r="BL61" s="126" t="s">
        <v>127</v>
      </c>
      <c r="BM61" s="348">
        <f>BM60/BH60-1</f>
        <v>-7.6331609115056542E-2</v>
      </c>
      <c r="BN61" s="430" t="s">
        <v>127</v>
      </c>
      <c r="BO61" s="431">
        <v>0.72499999999999998</v>
      </c>
      <c r="BP61" s="125"/>
      <c r="BQ61" s="126"/>
      <c r="BR61" s="348">
        <f>BR60/BM60-1</f>
        <v>0.2097775087028908</v>
      </c>
      <c r="BS61" s="430" t="s">
        <v>127</v>
      </c>
      <c r="BT61" s="431">
        <f>BT60/BO60-1</f>
        <v>-0.21251071122536425</v>
      </c>
      <c r="BU61" s="126"/>
      <c r="BV61" s="348"/>
      <c r="BW61" s="348">
        <f>BW60/BR60-1</f>
        <v>-0.11947954460152632</v>
      </c>
      <c r="BX61" s="430" t="s">
        <v>127</v>
      </c>
      <c r="BY61" s="431" t="s">
        <v>83</v>
      </c>
      <c r="BZ61" s="126"/>
      <c r="CA61" s="348"/>
      <c r="CB61" s="348">
        <v>0.35493037794828086</v>
      </c>
      <c r="CC61" s="430" t="s">
        <v>127</v>
      </c>
      <c r="CD61" s="431">
        <v>1.6E-2</v>
      </c>
      <c r="CE61" s="126"/>
      <c r="CF61" s="348"/>
      <c r="CG61" s="348"/>
    </row>
    <row r="62" spans="1:85" s="53" customFormat="1" ht="14.5" thickBot="1">
      <c r="A62" s="331" t="s">
        <v>142</v>
      </c>
      <c r="B62" s="42"/>
      <c r="C62" s="338">
        <v>3.8053740014524329E-2</v>
      </c>
      <c r="D62" s="127">
        <v>0.13712235453174562</v>
      </c>
      <c r="E62" s="127">
        <v>0.14370059041328931</v>
      </c>
      <c r="F62" s="128">
        <v>3.1172653689209979E-2</v>
      </c>
      <c r="G62" s="339">
        <v>9.5663565708902484E-2</v>
      </c>
      <c r="H62" s="338">
        <f t="shared" ref="H62:P62" si="43">+H60/H23</f>
        <v>1.2428500812089543E-2</v>
      </c>
      <c r="I62" s="127">
        <f t="shared" si="43"/>
        <v>0.10825419276621541</v>
      </c>
      <c r="J62" s="127">
        <f t="shared" si="43"/>
        <v>0.10944139289045496</v>
      </c>
      <c r="K62" s="128">
        <f t="shared" si="43"/>
        <v>1.6548927263212977E-2</v>
      </c>
      <c r="L62" s="128">
        <f t="shared" si="43"/>
        <v>6.8336664575521941E-2</v>
      </c>
      <c r="M62" s="339">
        <f t="shared" si="43"/>
        <v>6.598478964875519E-2</v>
      </c>
      <c r="N62" s="338">
        <f t="shared" si="43"/>
        <v>-8.9105464671075541E-3</v>
      </c>
      <c r="O62" s="127">
        <f t="shared" si="43"/>
        <v>9.1551413108839449E-2</v>
      </c>
      <c r="P62" s="127">
        <f t="shared" si="43"/>
        <v>0.10361930953199429</v>
      </c>
      <c r="Q62" s="128">
        <v>-1.9120954215071113E-2</v>
      </c>
      <c r="R62" s="339">
        <v>4.9465393255252121E-2</v>
      </c>
      <c r="S62" s="338">
        <f t="shared" ref="S62:Y62" si="44">+S60/S23</f>
        <v>-8.5809962327333608E-3</v>
      </c>
      <c r="T62" s="127">
        <f t="shared" si="44"/>
        <v>8.8986251699652519E-2</v>
      </c>
      <c r="U62" s="127">
        <f t="shared" si="44"/>
        <v>9.9811955661124344E-2</v>
      </c>
      <c r="V62" s="128">
        <f t="shared" si="44"/>
        <v>-1.7696909272183446E-2</v>
      </c>
      <c r="W62" s="339">
        <f t="shared" si="44"/>
        <v>4.7936746774170667E-2</v>
      </c>
      <c r="X62" s="338">
        <f t="shared" si="44"/>
        <v>-7.8916125427753343E-3</v>
      </c>
      <c r="Y62" s="127">
        <f t="shared" si="44"/>
        <v>7.4543402421506269E-2</v>
      </c>
      <c r="Z62" s="127"/>
      <c r="AA62" s="127">
        <f t="shared" ref="AA62:AI62" si="45">+AA60/AA23</f>
        <v>0.1071782307251212</v>
      </c>
      <c r="AB62" s="128">
        <f t="shared" si="45"/>
        <v>2.1656293661882379E-2</v>
      </c>
      <c r="AC62" s="339">
        <f t="shared" si="45"/>
        <v>5.4364271166715168E-2</v>
      </c>
      <c r="AD62" s="338">
        <f t="shared" si="45"/>
        <v>-2.1936744046277518E-2</v>
      </c>
      <c r="AE62" s="127">
        <f t="shared" si="45"/>
        <v>0.10437365010799136</v>
      </c>
      <c r="AF62" s="127">
        <f t="shared" si="45"/>
        <v>5.1553517011718127E-2</v>
      </c>
      <c r="AG62" s="127">
        <f t="shared" si="45"/>
        <v>9.8948874580375337E-2</v>
      </c>
      <c r="AH62" s="128">
        <f t="shared" si="45"/>
        <v>1.1390728476821191E-2</v>
      </c>
      <c r="AI62" s="339">
        <f t="shared" si="45"/>
        <v>5.5466805935301532E-2</v>
      </c>
      <c r="AJ62" s="345" t="s">
        <v>127</v>
      </c>
      <c r="AK62" s="127">
        <f>+AK60/AK23</f>
        <v>6.3188295407661313E-2</v>
      </c>
      <c r="AL62" s="129" t="s">
        <v>127</v>
      </c>
      <c r="AM62" s="130" t="s">
        <v>127</v>
      </c>
      <c r="AN62" s="339">
        <f>+AN60/AN23</f>
        <v>6.5898442832344639E-2</v>
      </c>
      <c r="AO62" s="345" t="s">
        <v>127</v>
      </c>
      <c r="AP62" s="127">
        <f>+AP60/AP23</f>
        <v>7.2472814481421857E-2</v>
      </c>
      <c r="AQ62" s="129" t="s">
        <v>127</v>
      </c>
      <c r="AR62" s="130" t="s">
        <v>127</v>
      </c>
      <c r="AS62" s="349">
        <f>+AS60/AS23</f>
        <v>8.1411723071946648E-2</v>
      </c>
      <c r="AT62" s="345" t="s">
        <v>127</v>
      </c>
      <c r="AU62" s="127">
        <v>8.3000000000000004E-2</v>
      </c>
      <c r="AV62" s="129" t="s">
        <v>127</v>
      </c>
      <c r="AW62" s="130" t="s">
        <v>127</v>
      </c>
      <c r="AX62" s="339">
        <f>+AX60/AX23</f>
        <v>9.0432382704691811E-2</v>
      </c>
      <c r="AY62" s="345" t="s">
        <v>127</v>
      </c>
      <c r="AZ62" s="127">
        <v>9.4E-2</v>
      </c>
      <c r="BA62" s="129" t="s">
        <v>127</v>
      </c>
      <c r="BB62" s="130" t="s">
        <v>127</v>
      </c>
      <c r="BC62" s="349">
        <v>9.6000000000000002E-2</v>
      </c>
      <c r="BD62" s="345" t="s">
        <v>127</v>
      </c>
      <c r="BE62" s="127">
        <v>8.5999999999999993E-2</v>
      </c>
      <c r="BF62" s="129" t="s">
        <v>127</v>
      </c>
      <c r="BG62" s="130" t="s">
        <v>127</v>
      </c>
      <c r="BH62" s="349">
        <v>0.10199999999999999</v>
      </c>
      <c r="BI62" s="345" t="s">
        <v>127</v>
      </c>
      <c r="BJ62" s="127">
        <v>7.1999999999999995E-2</v>
      </c>
      <c r="BK62" s="129"/>
      <c r="BL62" s="130" t="s">
        <v>127</v>
      </c>
      <c r="BM62" s="349">
        <v>0.108</v>
      </c>
      <c r="BN62" s="432" t="s">
        <v>127</v>
      </c>
      <c r="BO62" s="433">
        <v>0.108</v>
      </c>
      <c r="BP62" s="129"/>
      <c r="BQ62" s="130"/>
      <c r="BR62" s="349">
        <v>0.112</v>
      </c>
      <c r="BS62" s="432" t="s">
        <v>127</v>
      </c>
      <c r="BT62" s="433">
        <v>6.5000000000000002E-2</v>
      </c>
      <c r="BU62" s="130"/>
      <c r="BV62" s="349"/>
      <c r="BW62" s="349">
        <v>7.6999999999999999E-2</v>
      </c>
      <c r="BX62" s="432" t="s">
        <v>127</v>
      </c>
      <c r="BY62" s="433">
        <v>0.111</v>
      </c>
      <c r="BZ62" s="130"/>
      <c r="CA62" s="349"/>
      <c r="CB62" s="349">
        <v>9.363707776904949E-2</v>
      </c>
      <c r="CC62" s="432" t="s">
        <v>127</v>
      </c>
      <c r="CD62" s="433">
        <v>0.109</v>
      </c>
      <c r="CE62" s="130"/>
      <c r="CF62" s="349"/>
      <c r="CG62" s="349"/>
    </row>
    <row r="63" spans="1:85">
      <c r="A63" s="87"/>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O63" s="88"/>
      <c r="CC63" s="94"/>
      <c r="CD63" s="94"/>
    </row>
    <row r="64" spans="1:85" ht="14.5" thickBot="1">
      <c r="A64" s="86"/>
      <c r="B64" s="70"/>
      <c r="C64" s="70"/>
      <c r="D64" s="70"/>
      <c r="E64" s="70"/>
      <c r="F64" s="70"/>
      <c r="G64" s="70"/>
      <c r="H64" s="70"/>
      <c r="I64" s="70"/>
      <c r="J64" s="70"/>
      <c r="K64" s="70"/>
      <c r="L64" s="70"/>
      <c r="M64" s="70"/>
      <c r="N64" s="70"/>
      <c r="O64" s="70"/>
      <c r="P64" s="70"/>
      <c r="Q64" s="70"/>
      <c r="R64" s="70"/>
      <c r="S64" s="70"/>
      <c r="T64" s="70"/>
      <c r="U64" s="70"/>
      <c r="V64" s="70"/>
      <c r="W64" s="70"/>
      <c r="X64" s="70"/>
      <c r="Y64" s="77"/>
      <c r="Z64" s="77"/>
      <c r="AA64" s="70"/>
      <c r="AB64" s="70"/>
      <c r="AC64" s="70"/>
      <c r="AD64" s="70"/>
      <c r="AE64" s="77"/>
      <c r="AF64" s="77"/>
      <c r="AG64" s="70"/>
      <c r="AH64" s="70"/>
      <c r="AI64" s="70"/>
      <c r="AJ64" s="70"/>
      <c r="AK64" s="77"/>
      <c r="AL64" s="77"/>
      <c r="AM64" s="77"/>
      <c r="AO64" s="70"/>
      <c r="AP64" s="70"/>
      <c r="CC64" s="94"/>
      <c r="CD64" s="94"/>
    </row>
    <row r="65" spans="1:85" s="94" customFormat="1" ht="20.149999999999999" customHeight="1">
      <c r="A65" s="527" t="s">
        <v>155</v>
      </c>
      <c r="B65" s="306">
        <v>2009</v>
      </c>
      <c r="C65" s="298">
        <v>2010</v>
      </c>
      <c r="D65" s="93"/>
      <c r="E65" s="93"/>
      <c r="F65" s="93"/>
      <c r="G65" s="299"/>
      <c r="H65" s="298">
        <v>2011</v>
      </c>
      <c r="I65" s="93"/>
      <c r="J65" s="93"/>
      <c r="K65" s="93"/>
      <c r="L65" s="93"/>
      <c r="M65" s="299"/>
      <c r="N65" s="298">
        <v>2012</v>
      </c>
      <c r="O65" s="93"/>
      <c r="P65" s="93"/>
      <c r="Q65" s="93"/>
      <c r="R65" s="299"/>
      <c r="S65" s="298" t="s">
        <v>67</v>
      </c>
      <c r="T65" s="93"/>
      <c r="U65" s="93"/>
      <c r="V65" s="93"/>
      <c r="W65" s="299"/>
      <c r="X65" s="312" t="s">
        <v>122</v>
      </c>
      <c r="Y65" s="93"/>
      <c r="Z65" s="93"/>
      <c r="AA65" s="93"/>
      <c r="AB65" s="93"/>
      <c r="AC65" s="299"/>
      <c r="AD65" s="312" t="s">
        <v>124</v>
      </c>
      <c r="AE65" s="93"/>
      <c r="AF65" s="93"/>
      <c r="AG65" s="93"/>
      <c r="AH65" s="93"/>
      <c r="AI65" s="299"/>
      <c r="AJ65" s="298">
        <v>2015</v>
      </c>
      <c r="AK65" s="93"/>
      <c r="AL65" s="93"/>
      <c r="AM65" s="93"/>
      <c r="AN65" s="299"/>
      <c r="AO65" s="298">
        <v>2016</v>
      </c>
      <c r="AP65" s="93"/>
      <c r="AQ65" s="93"/>
      <c r="AR65" s="93"/>
      <c r="AS65" s="299"/>
      <c r="AT65" s="298">
        <v>2017</v>
      </c>
      <c r="AU65" s="93"/>
      <c r="AV65" s="93"/>
      <c r="AW65" s="93"/>
      <c r="AX65" s="299"/>
      <c r="AY65" s="298">
        <v>2018</v>
      </c>
      <c r="AZ65" s="93"/>
      <c r="BA65" s="93"/>
      <c r="BB65" s="93"/>
      <c r="BC65" s="299"/>
      <c r="BD65" s="298">
        <v>2019</v>
      </c>
      <c r="BE65" s="93"/>
      <c r="BF65" s="93"/>
      <c r="BG65" s="93"/>
      <c r="BH65" s="299"/>
      <c r="BI65" s="298">
        <v>2020</v>
      </c>
      <c r="BJ65" s="93"/>
      <c r="BK65" s="93"/>
      <c r="BL65" s="93"/>
      <c r="BM65" s="299"/>
      <c r="BN65" s="298">
        <v>2021</v>
      </c>
      <c r="BO65" s="93"/>
      <c r="BP65" s="93"/>
      <c r="BQ65" s="93"/>
      <c r="BR65" s="299"/>
      <c r="BS65" s="298">
        <v>2022</v>
      </c>
      <c r="BT65" s="93"/>
      <c r="BU65" s="93"/>
      <c r="BV65" s="299"/>
      <c r="BW65" s="299"/>
      <c r="BX65" s="298">
        <v>2023</v>
      </c>
      <c r="BY65" s="93"/>
      <c r="BZ65" s="93"/>
      <c r="CA65" s="299"/>
      <c r="CB65" s="299"/>
      <c r="CC65" s="298">
        <v>2024</v>
      </c>
      <c r="CD65" s="93"/>
      <c r="CE65" s="93"/>
      <c r="CF65" s="299"/>
      <c r="CG65" s="299"/>
    </row>
    <row r="66" spans="1:85" s="95" customFormat="1" ht="20.9" customHeight="1">
      <c r="A66" s="528"/>
      <c r="B66" s="307" t="s">
        <v>120</v>
      </c>
      <c r="C66" s="300" t="s">
        <v>70</v>
      </c>
      <c r="D66" s="100" t="s">
        <v>71</v>
      </c>
      <c r="E66" s="100" t="s">
        <v>72</v>
      </c>
      <c r="F66" s="100" t="s">
        <v>73</v>
      </c>
      <c r="G66" s="102" t="s">
        <v>120</v>
      </c>
      <c r="H66" s="300" t="s">
        <v>70</v>
      </c>
      <c r="I66" s="100" t="s">
        <v>71</v>
      </c>
      <c r="J66" s="100" t="s">
        <v>72</v>
      </c>
      <c r="K66" s="100" t="s">
        <v>73</v>
      </c>
      <c r="L66" s="101" t="s">
        <v>120</v>
      </c>
      <c r="M66" s="304" t="s">
        <v>150</v>
      </c>
      <c r="N66" s="300" t="s">
        <v>70</v>
      </c>
      <c r="O66" s="100" t="s">
        <v>71</v>
      </c>
      <c r="P66" s="100" t="s">
        <v>72</v>
      </c>
      <c r="Q66" s="100" t="s">
        <v>73</v>
      </c>
      <c r="R66" s="102" t="s">
        <v>120</v>
      </c>
      <c r="S66" s="300" t="s">
        <v>79</v>
      </c>
      <c r="T66" s="100" t="s">
        <v>80</v>
      </c>
      <c r="U66" s="100" t="s">
        <v>81</v>
      </c>
      <c r="V66" s="100" t="s">
        <v>76</v>
      </c>
      <c r="W66" s="102" t="s">
        <v>150</v>
      </c>
      <c r="X66" s="300" t="s">
        <v>70</v>
      </c>
      <c r="Y66" s="100" t="s">
        <v>71</v>
      </c>
      <c r="Z66" s="100" t="s">
        <v>111</v>
      </c>
      <c r="AA66" s="100" t="s">
        <v>72</v>
      </c>
      <c r="AB66" s="100" t="s">
        <v>73</v>
      </c>
      <c r="AC66" s="313" t="s">
        <v>120</v>
      </c>
      <c r="AD66" s="300" t="s">
        <v>70</v>
      </c>
      <c r="AE66" s="100" t="s">
        <v>71</v>
      </c>
      <c r="AF66" s="100" t="s">
        <v>111</v>
      </c>
      <c r="AG66" s="100" t="s">
        <v>72</v>
      </c>
      <c r="AH66" s="100" t="s">
        <v>73</v>
      </c>
      <c r="AI66" s="313" t="s">
        <v>120</v>
      </c>
      <c r="AJ66" s="300" t="s">
        <v>70</v>
      </c>
      <c r="AK66" s="100" t="s">
        <v>111</v>
      </c>
      <c r="AL66" s="100" t="s">
        <v>72</v>
      </c>
      <c r="AM66" s="100" t="s">
        <v>73</v>
      </c>
      <c r="AN66" s="102" t="s">
        <v>120</v>
      </c>
      <c r="AO66" s="300" t="s">
        <v>70</v>
      </c>
      <c r="AP66" s="100" t="s">
        <v>111</v>
      </c>
      <c r="AQ66" s="100" t="s">
        <v>72</v>
      </c>
      <c r="AR66" s="100" t="s">
        <v>73</v>
      </c>
      <c r="AS66" s="102" t="s">
        <v>120</v>
      </c>
      <c r="AT66" s="300" t="s">
        <v>70</v>
      </c>
      <c r="AU66" s="100" t="s">
        <v>111</v>
      </c>
      <c r="AV66" s="100" t="s">
        <v>72</v>
      </c>
      <c r="AW66" s="100" t="s">
        <v>73</v>
      </c>
      <c r="AX66" s="102" t="s">
        <v>120</v>
      </c>
      <c r="AY66" s="300" t="s">
        <v>70</v>
      </c>
      <c r="AZ66" s="100" t="s">
        <v>111</v>
      </c>
      <c r="BA66" s="100" t="s">
        <v>72</v>
      </c>
      <c r="BB66" s="100" t="s">
        <v>73</v>
      </c>
      <c r="BC66" s="102" t="s">
        <v>120</v>
      </c>
      <c r="BD66" s="300" t="s">
        <v>70</v>
      </c>
      <c r="BE66" s="100" t="s">
        <v>111</v>
      </c>
      <c r="BF66" s="100" t="s">
        <v>72</v>
      </c>
      <c r="BG66" s="100" t="s">
        <v>73</v>
      </c>
      <c r="BH66" s="102" t="s">
        <v>120</v>
      </c>
      <c r="BI66" s="300" t="s">
        <v>70</v>
      </c>
      <c r="BJ66" s="100" t="s">
        <v>111</v>
      </c>
      <c r="BK66" s="100" t="s">
        <v>72</v>
      </c>
      <c r="BL66" s="100" t="s">
        <v>73</v>
      </c>
      <c r="BM66" s="102" t="s">
        <v>120</v>
      </c>
      <c r="BN66" s="407" t="s">
        <v>70</v>
      </c>
      <c r="BO66" s="408" t="s">
        <v>111</v>
      </c>
      <c r="BP66" s="100" t="s">
        <v>72</v>
      </c>
      <c r="BQ66" s="100" t="s">
        <v>73</v>
      </c>
      <c r="BR66" s="102" t="s">
        <v>120</v>
      </c>
      <c r="BS66" s="407" t="s">
        <v>70</v>
      </c>
      <c r="BT66" s="421" t="s">
        <v>111</v>
      </c>
      <c r="BU66" s="100" t="s">
        <v>72</v>
      </c>
      <c r="BV66" s="100" t="s">
        <v>73</v>
      </c>
      <c r="BW66" s="102" t="s">
        <v>120</v>
      </c>
      <c r="BX66" s="407" t="s">
        <v>70</v>
      </c>
      <c r="BY66" s="421" t="s">
        <v>111</v>
      </c>
      <c r="BZ66" s="100" t="s">
        <v>72</v>
      </c>
      <c r="CA66" s="100" t="s">
        <v>73</v>
      </c>
      <c r="CB66" s="102" t="s">
        <v>120</v>
      </c>
      <c r="CC66" s="407" t="s">
        <v>70</v>
      </c>
      <c r="CD66" s="421" t="s">
        <v>111</v>
      </c>
      <c r="CE66" s="100" t="s">
        <v>72</v>
      </c>
      <c r="CF66" s="100" t="s">
        <v>73</v>
      </c>
      <c r="CG66" s="102" t="s">
        <v>120</v>
      </c>
    </row>
    <row r="67" spans="1:85">
      <c r="A67" s="326" t="s">
        <v>0</v>
      </c>
      <c r="B67" s="72">
        <f>'Annual Segmental Analysis'!C43</f>
        <v>327.60000000000002</v>
      </c>
      <c r="C67" s="223">
        <v>47.8</v>
      </c>
      <c r="D67" s="111">
        <v>104.2</v>
      </c>
      <c r="E67" s="111">
        <v>110.3</v>
      </c>
      <c r="F67" s="112">
        <v>32.299999999999997</v>
      </c>
      <c r="G67" s="225">
        <v>294.60000000000002</v>
      </c>
      <c r="H67" s="223">
        <v>41.5</v>
      </c>
      <c r="I67" s="111">
        <v>97</v>
      </c>
      <c r="J67" s="111">
        <v>98.2</v>
      </c>
      <c r="K67" s="112">
        <v>19.600000000000001</v>
      </c>
      <c r="L67" s="112">
        <f>SUM(H67:K67)</f>
        <v>256.3</v>
      </c>
      <c r="M67" s="225">
        <v>249</v>
      </c>
      <c r="N67" s="223">
        <v>17.5</v>
      </c>
      <c r="O67" s="111">
        <v>59</v>
      </c>
      <c r="P67" s="111">
        <v>73.099999999999994</v>
      </c>
      <c r="Q67" s="112">
        <v>11.900000000000006</v>
      </c>
      <c r="R67" s="225">
        <v>161.5</v>
      </c>
      <c r="S67" s="223">
        <v>17.7</v>
      </c>
      <c r="T67" s="111">
        <v>57.599999999999994</v>
      </c>
      <c r="U67" s="111">
        <f>W67-T67-S67-V67</f>
        <v>72.099999999999994</v>
      </c>
      <c r="V67" s="112">
        <v>12.600000000000001</v>
      </c>
      <c r="W67" s="225">
        <v>160</v>
      </c>
      <c r="X67" s="223">
        <v>11.1</v>
      </c>
      <c r="Y67" s="111">
        <v>50.5</v>
      </c>
      <c r="Z67" s="111">
        <f>Y67+X67</f>
        <v>61.6</v>
      </c>
      <c r="AA67" s="111">
        <v>74.251999999999995</v>
      </c>
      <c r="AB67" s="112">
        <v>13.7008713261596</v>
      </c>
      <c r="AC67" s="225">
        <v>149.60087132615959</v>
      </c>
      <c r="AD67" s="223">
        <v>-6.2254348299999993</v>
      </c>
      <c r="AE67" s="111">
        <v>70.5</v>
      </c>
      <c r="AF67" s="111">
        <v>64.3</v>
      </c>
      <c r="AG67" s="111">
        <v>65.399999999999991</v>
      </c>
      <c r="AH67" s="112">
        <v>17</v>
      </c>
      <c r="AI67" s="225">
        <v>146.69999999999999</v>
      </c>
      <c r="AJ67" s="340" t="s">
        <v>127</v>
      </c>
      <c r="AK67" s="111">
        <v>84.1</v>
      </c>
      <c r="AL67" s="113" t="s">
        <v>127</v>
      </c>
      <c r="AM67" s="114" t="s">
        <v>127</v>
      </c>
      <c r="AN67" s="225">
        <v>198.8</v>
      </c>
      <c r="AO67" s="340" t="s">
        <v>127</v>
      </c>
      <c r="AP67" s="111">
        <v>103.8</v>
      </c>
      <c r="AQ67" s="113" t="s">
        <v>127</v>
      </c>
      <c r="AR67" s="114" t="s">
        <v>127</v>
      </c>
      <c r="AS67" s="224">
        <v>242.3</v>
      </c>
      <c r="AT67" s="340" t="s">
        <v>127</v>
      </c>
      <c r="AU67" s="111">
        <v>106.7</v>
      </c>
      <c r="AV67" s="113" t="s">
        <v>127</v>
      </c>
      <c r="AW67" s="114" t="s">
        <v>127</v>
      </c>
      <c r="AX67" s="224">
        <v>250.4</v>
      </c>
      <c r="AY67" s="340" t="s">
        <v>127</v>
      </c>
      <c r="AZ67" s="111">
        <v>110.8</v>
      </c>
      <c r="BA67" s="113" t="s">
        <v>127</v>
      </c>
      <c r="BB67" s="114" t="s">
        <v>127</v>
      </c>
      <c r="BC67" s="224">
        <v>240.7</v>
      </c>
      <c r="BD67" s="340" t="s">
        <v>127</v>
      </c>
      <c r="BE67" s="111">
        <v>113.2</v>
      </c>
      <c r="BF67" s="113" t="s">
        <v>127</v>
      </c>
      <c r="BG67" s="114" t="s">
        <v>127</v>
      </c>
      <c r="BH67" s="224">
        <v>256.2</v>
      </c>
      <c r="BI67" s="340" t="s">
        <v>127</v>
      </c>
      <c r="BJ67" s="111">
        <v>49.7</v>
      </c>
      <c r="BK67" s="113"/>
      <c r="BL67" s="114" t="s">
        <v>127</v>
      </c>
      <c r="BM67" s="224">
        <v>209</v>
      </c>
      <c r="BN67" s="422" t="s">
        <v>127</v>
      </c>
      <c r="BO67" s="434">
        <v>108.6</v>
      </c>
      <c r="BP67" s="113"/>
      <c r="BQ67" s="114"/>
      <c r="BR67" s="224">
        <v>300.8</v>
      </c>
      <c r="BS67" s="422" t="s">
        <v>127</v>
      </c>
      <c r="BT67" s="423">
        <v>140.19999999999999</v>
      </c>
      <c r="BU67" s="114"/>
      <c r="BV67" s="224"/>
      <c r="BW67" s="224">
        <v>307.10000000000002</v>
      </c>
      <c r="BX67" s="422" t="s">
        <v>127</v>
      </c>
      <c r="BY67" s="423">
        <v>171.3</v>
      </c>
      <c r="BZ67" s="114"/>
      <c r="CA67" s="224"/>
      <c r="CB67" s="224">
        <v>381.1</v>
      </c>
      <c r="CC67" s="422" t="s">
        <v>127</v>
      </c>
      <c r="CD67" s="423">
        <v>194.1</v>
      </c>
      <c r="CE67" s="114"/>
      <c r="CF67" s="224"/>
      <c r="CG67" s="224"/>
    </row>
    <row r="68" spans="1:85">
      <c r="A68" s="327" t="s">
        <v>141</v>
      </c>
      <c r="B68" s="168"/>
      <c r="C68" s="332">
        <v>0.10648148148148134</v>
      </c>
      <c r="D68" s="115">
        <v>-0.14590163934426228</v>
      </c>
      <c r="E68" s="115">
        <v>-0.11971268954509179</v>
      </c>
      <c r="F68" s="116">
        <v>-0.12938005390835591</v>
      </c>
      <c r="G68" s="333">
        <v>-0.10073260073260071</v>
      </c>
      <c r="H68" s="332">
        <f>+H67/C67-1</f>
        <v>-0.13179916317991625</v>
      </c>
      <c r="I68" s="115">
        <f>+I67/D67-1</f>
        <v>-6.9097888675623831E-2</v>
      </c>
      <c r="J68" s="115">
        <f>+J67/E67-1</f>
        <v>-0.10970081595648229</v>
      </c>
      <c r="K68" s="116">
        <f>+K67/F67-1</f>
        <v>-0.39318885448916396</v>
      </c>
      <c r="L68" s="116">
        <f>L67/G67-1</f>
        <v>-0.13000678886625938</v>
      </c>
      <c r="M68" s="333">
        <f>M67/G67-1</f>
        <v>-0.15478615071283097</v>
      </c>
      <c r="N68" s="332">
        <f>+N67/H67-1</f>
        <v>-0.57831325301204817</v>
      </c>
      <c r="O68" s="115">
        <f>+O67/I67-1</f>
        <v>-0.39175257731958768</v>
      </c>
      <c r="P68" s="115">
        <f>+P67/J67-1</f>
        <v>-0.25560081466395124</v>
      </c>
      <c r="Q68" s="116">
        <f>+Q67/K67-1</f>
        <v>-0.39285714285714257</v>
      </c>
      <c r="R68" s="333">
        <f>+R67/L67-1</f>
        <v>-0.36987904799063598</v>
      </c>
      <c r="S68" s="332" t="s">
        <v>61</v>
      </c>
      <c r="T68" s="115" t="s">
        <v>61</v>
      </c>
      <c r="U68" s="115" t="s">
        <v>61</v>
      </c>
      <c r="V68" s="116" t="e">
        <f>V67/AM67-1</f>
        <v>#VALUE!</v>
      </c>
      <c r="W68" s="333">
        <f>W67/M67-1</f>
        <v>-0.35742971887550201</v>
      </c>
      <c r="X68" s="332">
        <f>IF(OR(((X67-S67)/S67)&gt;=100%,((X67-S67)/S67)&lt;=-100%),"&gt;100%",((X67-S67)/ABS(S67)))</f>
        <v>-0.3728813559322034</v>
      </c>
      <c r="Y68" s="115">
        <f>IF(OR(((Y67-T67)/T67)&gt;=100%,((Y67-T67)/T67)&lt;=-100%),"&gt;100%",((Y67-T67)/ABS(T67)))</f>
        <v>-0.1232638888888888</v>
      </c>
      <c r="Z68" s="115"/>
      <c r="AA68" s="115">
        <f t="shared" ref="AA68:AI68" si="46">IF(OR(((AA67-U67)/U67)&gt;=100%,((AA67-U67)/U67)&lt;=-100%),"&gt;100%",((AA67-U67)/ABS(U67)))</f>
        <v>2.9847434119278798E-2</v>
      </c>
      <c r="AB68" s="116">
        <f t="shared" si="46"/>
        <v>8.7370740171396705E-2</v>
      </c>
      <c r="AC68" s="333">
        <f t="shared" si="46"/>
        <v>-6.4994554211502548E-2</v>
      </c>
      <c r="AD68" s="332" t="str">
        <f t="shared" si="46"/>
        <v>&gt;100%</v>
      </c>
      <c r="AE68" s="115">
        <f t="shared" si="46"/>
        <v>0.39603960396039606</v>
      </c>
      <c r="AF68" s="115">
        <f t="shared" si="46"/>
        <v>4.3831168831168763E-2</v>
      </c>
      <c r="AG68" s="115">
        <f t="shared" si="46"/>
        <v>-0.11921564402305668</v>
      </c>
      <c r="AH68" s="116">
        <f t="shared" si="46"/>
        <v>0.24079699716187006</v>
      </c>
      <c r="AI68" s="333">
        <f t="shared" si="46"/>
        <v>-1.9390738171806015E-2</v>
      </c>
      <c r="AJ68" s="341" t="s">
        <v>127</v>
      </c>
      <c r="AK68" s="115">
        <f>IF(OR(((AK67-AF67)/AF67)&gt;=100%,((AK67-AF67)/AF67)&lt;=-100%),"&gt;100%",((AK67-AF67)/ABS(AF67)))</f>
        <v>0.30793157076205285</v>
      </c>
      <c r="AL68" s="117" t="s">
        <v>127</v>
      </c>
      <c r="AM68" s="118" t="s">
        <v>127</v>
      </c>
      <c r="AN68" s="333">
        <f>IF(OR(((AN67-AI67)/AI67)&gt;=100%,((AN67-AI67)/AI67)&lt;=-100%),"&gt;100%",((AN67-AI67)/ABS(AI67)))</f>
        <v>0.35514655760054553</v>
      </c>
      <c r="AO68" s="341" t="s">
        <v>127</v>
      </c>
      <c r="AP68" s="115">
        <f>IF(OR(((AP67-AK67)/AK67)&gt;=100%,((AP67-AK67)/AK67)&lt;=-100%),"&gt;100%",((AP67-AK67)/ABS(AK67)))</f>
        <v>0.23424494649227115</v>
      </c>
      <c r="AQ68" s="117" t="s">
        <v>127</v>
      </c>
      <c r="AR68" s="118" t="s">
        <v>127</v>
      </c>
      <c r="AS68" s="346">
        <f>IF(OR(((AS67-AN67)/AN67)&gt;=100%,((AS67-AN67)/AN67)&lt;=-100%),"&gt;100%",((AS67-AN67)/ABS(AN67)))</f>
        <v>0.21881287726358148</v>
      </c>
      <c r="AT68" s="341" t="s">
        <v>127</v>
      </c>
      <c r="AU68" s="115">
        <f>IF(OR(((AU67-AP67)/AP67)&gt;=100%,((AU67-AP67)/AP67)&lt;=-100%),"&gt;100%",((AU67-AP67)/ABS(AP67)))</f>
        <v>2.7938342967244758E-2</v>
      </c>
      <c r="AV68" s="117" t="s">
        <v>127</v>
      </c>
      <c r="AW68" s="118" t="s">
        <v>127</v>
      </c>
      <c r="AX68" s="333">
        <f>IF(OR(((AX67-AS67)/AS67)&gt;=100%,((AX67-AS67)/AS67)&lt;=-100%),"&gt;100%",((AX67-AS67)/ABS(AS67)))</f>
        <v>3.3429632686751934E-2</v>
      </c>
      <c r="AY68" s="341" t="s">
        <v>127</v>
      </c>
      <c r="AZ68" s="115">
        <f>IF(OR(((AZ67-AU67)/AU67)&gt;=100%,((AZ67-AU67)/AU67)&lt;=-100%),"&gt;100%",((AZ67-AU67)/ABS(AU67)))</f>
        <v>3.8425492033739399E-2</v>
      </c>
      <c r="BA68" s="117" t="s">
        <v>127</v>
      </c>
      <c r="BB68" s="118" t="s">
        <v>127</v>
      </c>
      <c r="BC68" s="346">
        <f>BC67/AX67-1</f>
        <v>-3.8738019169329174E-2</v>
      </c>
      <c r="BD68" s="341" t="s">
        <v>127</v>
      </c>
      <c r="BE68" s="115">
        <f>IF(OR(((BE67-AZ67)/AZ67)&gt;=100%,((BE67-AZ67)/AZ67)&lt;=-100%),"&gt;100%",((BE67-AZ67)/ABS(AZ67)))</f>
        <v>2.1660649819494636E-2</v>
      </c>
      <c r="BF68" s="117" t="s">
        <v>127</v>
      </c>
      <c r="BG68" s="118" t="s">
        <v>127</v>
      </c>
      <c r="BH68" s="346">
        <f>BH67/BC67-1</f>
        <v>6.4395513086830114E-2</v>
      </c>
      <c r="BI68" s="341" t="s">
        <v>127</v>
      </c>
      <c r="BJ68" s="115">
        <v>-0.56095406360424027</v>
      </c>
      <c r="BK68" s="117"/>
      <c r="BL68" s="118" t="s">
        <v>127</v>
      </c>
      <c r="BM68" s="346">
        <f>BM67/BH67-1</f>
        <v>-0.1842310694769711</v>
      </c>
      <c r="BN68" s="424" t="s">
        <v>127</v>
      </c>
      <c r="BO68" s="435" t="s">
        <v>83</v>
      </c>
      <c r="BP68" s="117"/>
      <c r="BQ68" s="118"/>
      <c r="BR68" s="346">
        <f>BR67/BM67-1</f>
        <v>0.43923444976076564</v>
      </c>
      <c r="BS68" s="424" t="s">
        <v>127</v>
      </c>
      <c r="BT68" s="425">
        <f>BT67/BO67-1</f>
        <v>0.29097605893185996</v>
      </c>
      <c r="BU68" s="118"/>
      <c r="BV68" s="346"/>
      <c r="BW68" s="346">
        <f>BW67/BR67-1</f>
        <v>2.0944148936170359E-2</v>
      </c>
      <c r="BX68" s="424" t="s">
        <v>127</v>
      </c>
      <c r="BY68" s="425">
        <v>0.222</v>
      </c>
      <c r="BZ68" s="118"/>
      <c r="CA68" s="346"/>
      <c r="CB68" s="346">
        <v>0.24099999999999999</v>
      </c>
      <c r="CC68" s="424" t="s">
        <v>127</v>
      </c>
      <c r="CD68" s="425">
        <v>0.13300000000000001</v>
      </c>
      <c r="CE68" s="118"/>
      <c r="CF68" s="346"/>
      <c r="CG68" s="346"/>
    </row>
    <row r="69" spans="1:85">
      <c r="A69" s="328" t="s">
        <v>103</v>
      </c>
      <c r="B69" s="288"/>
      <c r="C69" s="334">
        <v>7.6578019865427741E-2</v>
      </c>
      <c r="D69" s="290">
        <v>0.13193213471765006</v>
      </c>
      <c r="E69" s="290">
        <v>0.13999238482040868</v>
      </c>
      <c r="F69" s="291">
        <v>5.1051051051051045E-2</v>
      </c>
      <c r="G69" s="335">
        <v>0.10393000776123615</v>
      </c>
      <c r="H69" s="334">
        <f t="shared" ref="H69:Y69" si="47">+H67/H17</f>
        <v>6.6773934030571205E-2</v>
      </c>
      <c r="I69" s="290">
        <f t="shared" si="47"/>
        <v>0.12123484564429446</v>
      </c>
      <c r="J69" s="290">
        <f t="shared" si="47"/>
        <v>0.12575233704699706</v>
      </c>
      <c r="K69" s="291">
        <f t="shared" si="47"/>
        <v>3.242349048800662E-2</v>
      </c>
      <c r="L69" s="291">
        <f t="shared" si="47"/>
        <v>9.1307445671535453E-2</v>
      </c>
      <c r="M69" s="335">
        <f t="shared" si="47"/>
        <v>8.7836884436291798E-2</v>
      </c>
      <c r="N69" s="334">
        <f t="shared" si="47"/>
        <v>2.8492347769456201E-2</v>
      </c>
      <c r="O69" s="290">
        <f t="shared" si="47"/>
        <v>8.0272108843537415E-2</v>
      </c>
      <c r="P69" s="290">
        <f t="shared" si="47"/>
        <v>9.771420933030342E-2</v>
      </c>
      <c r="Q69" s="291">
        <f t="shared" si="47"/>
        <v>2.0666898228551601E-2</v>
      </c>
      <c r="R69" s="335">
        <f t="shared" si="47"/>
        <v>6.0416744603643713E-2</v>
      </c>
      <c r="S69" s="334">
        <f t="shared" si="47"/>
        <v>2.8539180909384065E-2</v>
      </c>
      <c r="T69" s="290">
        <f t="shared" si="47"/>
        <v>7.7429762064793656E-2</v>
      </c>
      <c r="U69" s="290">
        <f t="shared" si="47"/>
        <v>9.5370370370370425E-2</v>
      </c>
      <c r="V69" s="291">
        <f t="shared" si="47"/>
        <v>2.1660649819494584E-2</v>
      </c>
      <c r="W69" s="335">
        <f t="shared" si="47"/>
        <v>5.9219779406321719E-2</v>
      </c>
      <c r="X69" s="334">
        <f t="shared" si="47"/>
        <v>1.9456617002629271E-2</v>
      </c>
      <c r="Y69" s="290">
        <f t="shared" si="47"/>
        <v>7.2432587492828451E-2</v>
      </c>
      <c r="Z69" s="290"/>
      <c r="AA69" s="290">
        <f t="shared" ref="AA69:AI69" si="48">+AA67/AA17</f>
        <v>0.10351596263766903</v>
      </c>
      <c r="AB69" s="291">
        <f t="shared" si="48"/>
        <v>2.4704059369202308E-2</v>
      </c>
      <c r="AC69" s="335">
        <f t="shared" si="48"/>
        <v>5.8907257570546386E-2</v>
      </c>
      <c r="AD69" s="334">
        <f t="shared" si="48"/>
        <v>-1.1792829759424132E-2</v>
      </c>
      <c r="AE69" s="290">
        <f t="shared" si="48"/>
        <v>0.10069990001428367</v>
      </c>
      <c r="AF69" s="290">
        <f t="shared" si="48"/>
        <v>5.2361563517915308E-2</v>
      </c>
      <c r="AG69" s="290">
        <f t="shared" si="48"/>
        <v>9.9030890369473032E-2</v>
      </c>
      <c r="AH69" s="291">
        <f t="shared" si="48"/>
        <v>3.0330062444246207E-2</v>
      </c>
      <c r="AI69" s="335">
        <f t="shared" si="48"/>
        <v>5.9904446894524066E-2</v>
      </c>
      <c r="AJ69" s="342" t="s">
        <v>127</v>
      </c>
      <c r="AK69" s="290">
        <f>+AK67/AK17</f>
        <v>6.7987065481002418E-2</v>
      </c>
      <c r="AL69" s="292" t="s">
        <v>127</v>
      </c>
      <c r="AM69" s="293" t="s">
        <v>127</v>
      </c>
      <c r="AN69" s="335">
        <f>+AN67/AN17</f>
        <v>7.9979160594833995E-2</v>
      </c>
      <c r="AO69" s="342" t="s">
        <v>127</v>
      </c>
      <c r="AP69" s="290">
        <f>+AP67/AP17</f>
        <v>8.7036726479959761E-2</v>
      </c>
      <c r="AQ69" s="292" t="s">
        <v>127</v>
      </c>
      <c r="AR69" s="293" t="s">
        <v>127</v>
      </c>
      <c r="AS69" s="347">
        <f>+AS67/AS17</f>
        <v>0.100632553624856</v>
      </c>
      <c r="AT69" s="342" t="s">
        <v>127</v>
      </c>
      <c r="AU69" s="290">
        <v>8.8999999999999996E-2</v>
      </c>
      <c r="AV69" s="292" t="s">
        <v>127</v>
      </c>
      <c r="AW69" s="293" t="s">
        <v>127</v>
      </c>
      <c r="AX69" s="335">
        <f>+AX67/AX17</f>
        <v>0.10277880392398309</v>
      </c>
      <c r="AY69" s="342" t="s">
        <v>127</v>
      </c>
      <c r="AZ69" s="290">
        <v>9.1999999999999998E-2</v>
      </c>
      <c r="BA69" s="292" t="s">
        <v>127</v>
      </c>
      <c r="BB69" s="293" t="s">
        <v>127</v>
      </c>
      <c r="BC69" s="347">
        <v>9.7000000000000003E-2</v>
      </c>
      <c r="BD69" s="342" t="s">
        <v>127</v>
      </c>
      <c r="BE69" s="290">
        <v>9.0999999999999998E-2</v>
      </c>
      <c r="BF69" s="292" t="s">
        <v>127</v>
      </c>
      <c r="BG69" s="293" t="s">
        <v>127</v>
      </c>
      <c r="BH69" s="347">
        <v>0.10199999999999999</v>
      </c>
      <c r="BI69" s="342" t="s">
        <v>127</v>
      </c>
      <c r="BJ69" s="290">
        <v>0.05</v>
      </c>
      <c r="BK69" s="292"/>
      <c r="BL69" s="293" t="s">
        <v>127</v>
      </c>
      <c r="BM69" s="347">
        <v>9.6000000000000002E-2</v>
      </c>
      <c r="BN69" s="426" t="s">
        <v>127</v>
      </c>
      <c r="BO69" s="436">
        <v>9.4E-2</v>
      </c>
      <c r="BP69" s="292"/>
      <c r="BQ69" s="293"/>
      <c r="BR69" s="347">
        <v>0.121</v>
      </c>
      <c r="BS69" s="426" t="s">
        <v>127</v>
      </c>
      <c r="BT69" s="427">
        <v>0.10100000000000001</v>
      </c>
      <c r="BU69" s="293"/>
      <c r="BV69" s="347"/>
      <c r="BW69" s="347">
        <v>0.10299999999999999</v>
      </c>
      <c r="BX69" s="426" t="s">
        <v>127</v>
      </c>
      <c r="BY69" s="427">
        <v>0.105</v>
      </c>
      <c r="BZ69" s="293"/>
      <c r="CA69" s="347"/>
      <c r="CB69" s="347">
        <v>0.113</v>
      </c>
      <c r="CC69" s="426" t="s">
        <v>127</v>
      </c>
      <c r="CD69" s="427">
        <v>0.113</v>
      </c>
      <c r="CE69" s="293"/>
      <c r="CF69" s="347"/>
      <c r="CG69" s="347"/>
    </row>
    <row r="70" spans="1:85">
      <c r="A70" s="326" t="s">
        <v>7</v>
      </c>
      <c r="B70" s="72">
        <f>'Annual Segmental Analysis'!C46</f>
        <v>97</v>
      </c>
      <c r="C70" s="223">
        <v>1.1000000000000001</v>
      </c>
      <c r="D70" s="111">
        <v>31.1</v>
      </c>
      <c r="E70" s="111">
        <v>49.6</v>
      </c>
      <c r="F70" s="112">
        <v>9.6999999999999993</v>
      </c>
      <c r="G70" s="225">
        <v>91.500000000000014</v>
      </c>
      <c r="H70" s="223">
        <v>-4.9000000000000004</v>
      </c>
      <c r="I70" s="111">
        <v>36.1</v>
      </c>
      <c r="J70" s="111">
        <v>33.200000000000003</v>
      </c>
      <c r="K70" s="112">
        <v>11.6</v>
      </c>
      <c r="L70" s="112">
        <f>SUM(H70:K70)</f>
        <v>76</v>
      </c>
      <c r="M70" s="225">
        <v>76</v>
      </c>
      <c r="N70" s="223">
        <v>-10</v>
      </c>
      <c r="O70" s="111">
        <v>15.6</v>
      </c>
      <c r="P70" s="111">
        <v>26.3</v>
      </c>
      <c r="Q70" s="112">
        <v>-5.2000000000000011</v>
      </c>
      <c r="R70" s="225">
        <v>26.7</v>
      </c>
      <c r="S70" s="223">
        <v>-10</v>
      </c>
      <c r="T70" s="111">
        <v>15.6</v>
      </c>
      <c r="U70" s="111">
        <f>W70-T70-S70-V70</f>
        <v>26.300000000000004</v>
      </c>
      <c r="V70" s="112">
        <v>-5.1030589999999947</v>
      </c>
      <c r="W70" s="225">
        <v>26.796941000000007</v>
      </c>
      <c r="X70" s="223">
        <v>-14.8</v>
      </c>
      <c r="Y70" s="111">
        <v>18.600000000000001</v>
      </c>
      <c r="Z70" s="111">
        <f>Y70+X70</f>
        <v>3.8000000000000007</v>
      </c>
      <c r="AA70" s="111">
        <v>37.459000000000003</v>
      </c>
      <c r="AB70" s="112">
        <v>0.20470036713980022</v>
      </c>
      <c r="AC70" s="225">
        <v>41.604700367139799</v>
      </c>
      <c r="AD70" s="223">
        <v>-8.9791084300000001</v>
      </c>
      <c r="AE70" s="111">
        <v>32.4</v>
      </c>
      <c r="AF70" s="111">
        <v>23.400000000000002</v>
      </c>
      <c r="AG70" s="111">
        <v>31.699999999999996</v>
      </c>
      <c r="AH70" s="112">
        <v>2.7999999999999994</v>
      </c>
      <c r="AI70" s="225">
        <v>57.9</v>
      </c>
      <c r="AJ70" s="340" t="s">
        <v>127</v>
      </c>
      <c r="AK70" s="111">
        <v>45.1</v>
      </c>
      <c r="AL70" s="113" t="s">
        <v>127</v>
      </c>
      <c r="AM70" s="114" t="s">
        <v>127</v>
      </c>
      <c r="AN70" s="225">
        <v>98.6</v>
      </c>
      <c r="AO70" s="340" t="s">
        <v>127</v>
      </c>
      <c r="AP70" s="111">
        <v>43</v>
      </c>
      <c r="AQ70" s="113" t="s">
        <v>127</v>
      </c>
      <c r="AR70" s="114" t="s">
        <v>127</v>
      </c>
      <c r="AS70" s="224">
        <v>97.1</v>
      </c>
      <c r="AT70" s="340" t="s">
        <v>127</v>
      </c>
      <c r="AU70" s="111">
        <v>33.299999999999997</v>
      </c>
      <c r="AV70" s="113" t="s">
        <v>127</v>
      </c>
      <c r="AW70" s="114" t="s">
        <v>127</v>
      </c>
      <c r="AX70" s="224">
        <v>92.3</v>
      </c>
      <c r="AY70" s="340" t="s">
        <v>127</v>
      </c>
      <c r="AZ70" s="111">
        <v>56.5</v>
      </c>
      <c r="BA70" s="113" t="s">
        <v>127</v>
      </c>
      <c r="BB70" s="114" t="s">
        <v>127</v>
      </c>
      <c r="BC70" s="224">
        <v>137</v>
      </c>
      <c r="BD70" s="340" t="s">
        <v>127</v>
      </c>
      <c r="BE70" s="111">
        <v>54.5</v>
      </c>
      <c r="BF70" s="113" t="s">
        <v>127</v>
      </c>
      <c r="BG70" s="114" t="s">
        <v>127</v>
      </c>
      <c r="BH70" s="224">
        <v>146.4</v>
      </c>
      <c r="BI70" s="340" t="s">
        <v>127</v>
      </c>
      <c r="BJ70" s="111">
        <v>19.100000000000001</v>
      </c>
      <c r="BK70" s="113"/>
      <c r="BL70" s="114" t="s">
        <v>127</v>
      </c>
      <c r="BM70" s="224">
        <v>102.1</v>
      </c>
      <c r="BN70" s="422" t="s">
        <v>127</v>
      </c>
      <c r="BO70" s="434">
        <v>32.9</v>
      </c>
      <c r="BP70" s="113"/>
      <c r="BQ70" s="114"/>
      <c r="BR70" s="224">
        <v>106.5</v>
      </c>
      <c r="BS70" s="422" t="s">
        <v>127</v>
      </c>
      <c r="BT70" s="423">
        <v>51.6</v>
      </c>
      <c r="BU70" s="114"/>
      <c r="BV70" s="224"/>
      <c r="BW70" s="224">
        <v>115.1</v>
      </c>
      <c r="BX70" s="422" t="s">
        <v>127</v>
      </c>
      <c r="BY70" s="423">
        <v>67.3</v>
      </c>
      <c r="BZ70" s="114"/>
      <c r="CA70" s="224"/>
      <c r="CB70" s="224">
        <v>153.80000000000001</v>
      </c>
      <c r="CC70" s="422" t="s">
        <v>127</v>
      </c>
      <c r="CD70" s="423">
        <v>118.3</v>
      </c>
      <c r="CE70" s="114"/>
      <c r="CF70" s="224"/>
      <c r="CG70" s="224"/>
    </row>
    <row r="71" spans="1:85">
      <c r="A71" s="327" t="s">
        <v>141</v>
      </c>
      <c r="B71" s="168"/>
      <c r="C71" s="332">
        <v>1.1527777777777779</v>
      </c>
      <c r="D71" s="115">
        <v>-0.12394366197183095</v>
      </c>
      <c r="E71" s="115">
        <v>-0.12212389380530971</v>
      </c>
      <c r="F71" s="116">
        <v>-0.20491803278688525</v>
      </c>
      <c r="G71" s="333">
        <v>-5.670103092783485E-2</v>
      </c>
      <c r="H71" s="332">
        <f>+H70/C70-1</f>
        <v>-5.4545454545454541</v>
      </c>
      <c r="I71" s="115">
        <f>+I70/D70-1</f>
        <v>0.16077170418006426</v>
      </c>
      <c r="J71" s="115">
        <f>+J70/E70-1</f>
        <v>-0.33064516129032251</v>
      </c>
      <c r="K71" s="116">
        <f>+K70/F70-1</f>
        <v>0.19587628865979378</v>
      </c>
      <c r="L71" s="116">
        <f>L70/G70-1</f>
        <v>-0.16939890710382521</v>
      </c>
      <c r="M71" s="333">
        <f>M70/G70-1</f>
        <v>-0.16939890710382521</v>
      </c>
      <c r="N71" s="332">
        <f>+N70/H70-1</f>
        <v>1.0408163265306123</v>
      </c>
      <c r="O71" s="115">
        <f>+O70/I70-1</f>
        <v>-0.56786703601108035</v>
      </c>
      <c r="P71" s="115">
        <f>+P70/J70-1</f>
        <v>-0.20783132530120485</v>
      </c>
      <c r="Q71" s="116">
        <f>+Q70/K70-1</f>
        <v>-1.4482758620689657</v>
      </c>
      <c r="R71" s="333">
        <f>+R70/L70-1</f>
        <v>-0.64868421052631575</v>
      </c>
      <c r="S71" s="332" t="s">
        <v>61</v>
      </c>
      <c r="T71" s="115" t="s">
        <v>61</v>
      </c>
      <c r="U71" s="115" t="s">
        <v>61</v>
      </c>
      <c r="V71" s="116" t="e">
        <f>V70/AM70-1</f>
        <v>#VALUE!</v>
      </c>
      <c r="W71" s="333">
        <f>W70/M70-1</f>
        <v>-0.64740867105263145</v>
      </c>
      <c r="X71" s="332">
        <f>IF(OR(((X70-S70)/S70)&gt;=100%,((X70-S70)/S70)&lt;=-100%),"&gt;100%",((X70-S70)/ABS(S70)))</f>
        <v>-0.48000000000000009</v>
      </c>
      <c r="Y71" s="115">
        <f>IF(OR(((Y70-T70)/T70)&gt;=100%,((Y70-T70)/T70)&lt;=-100%),"&gt;100%",((Y70-T70)/ABS(T70)))</f>
        <v>0.19230769230769243</v>
      </c>
      <c r="Z71" s="115"/>
      <c r="AA71" s="115">
        <f t="shared" ref="AA71:AI71" si="49">IF(OR(((AA70-U70)/U70)&gt;=100%,((AA70-U70)/U70)&lt;=-100%),"&gt;100%",((AA70-U70)/ABS(U70)))</f>
        <v>0.42429657794676795</v>
      </c>
      <c r="AB71" s="116" t="str">
        <f t="shared" si="49"/>
        <v>&gt;100%</v>
      </c>
      <c r="AC71" s="333">
        <f t="shared" si="49"/>
        <v>0.55259140836783527</v>
      </c>
      <c r="AD71" s="332">
        <f t="shared" si="49"/>
        <v>0.39330348445945945</v>
      </c>
      <c r="AE71" s="115">
        <f t="shared" si="49"/>
        <v>0.74193548387096753</v>
      </c>
      <c r="AF71" s="115" t="str">
        <f t="shared" si="49"/>
        <v>&gt;100%</v>
      </c>
      <c r="AG71" s="115">
        <f t="shared" si="49"/>
        <v>-0.15374142395685969</v>
      </c>
      <c r="AH71" s="116" t="str">
        <f t="shared" si="49"/>
        <v>&gt;100%</v>
      </c>
      <c r="AI71" s="333">
        <f t="shared" si="49"/>
        <v>0.39166967888394033</v>
      </c>
      <c r="AJ71" s="341" t="s">
        <v>127</v>
      </c>
      <c r="AK71" s="115">
        <f>IF(OR(((AK70-AF70)/AF70)&gt;=100%,((AK70-AF70)/AF70)&lt;=-100%),"&gt;100%",((AK70-AF70)/ABS(AF70)))</f>
        <v>0.92735042735042728</v>
      </c>
      <c r="AL71" s="117" t="s">
        <v>127</v>
      </c>
      <c r="AM71" s="118" t="s">
        <v>127</v>
      </c>
      <c r="AN71" s="333">
        <f>IF(OR(((AN70-AI70)/AI70)&gt;=100%,((AN70-AI70)/AI70)&lt;=-100%),"&gt;100%",((AN70-AI70)/ABS(AI70)))</f>
        <v>0.70293609671848012</v>
      </c>
      <c r="AO71" s="341" t="s">
        <v>127</v>
      </c>
      <c r="AP71" s="115">
        <f>IF(OR(((AP70-AK70)/AK70)&gt;=100%,((AP70-AK70)/AK70)&lt;=-100%),"&gt;100%",((AP70-AK70)/ABS(AK70)))</f>
        <v>-4.6563192904656346E-2</v>
      </c>
      <c r="AQ71" s="117" t="s">
        <v>127</v>
      </c>
      <c r="AR71" s="118" t="s">
        <v>127</v>
      </c>
      <c r="AS71" s="346">
        <f>IF(OR(((AS70-AN70)/AN70)&gt;=100%,((AS70-AN70)/AN70)&lt;=-100%),"&gt;100%",((AS70-AN70)/ABS(AN70)))</f>
        <v>-1.5212981744421908E-2</v>
      </c>
      <c r="AT71" s="341" t="s">
        <v>127</v>
      </c>
      <c r="AU71" s="115">
        <f>IF(OR(((AU70-AP70)/AP70)&gt;=100%,((AU70-AP70)/AP70)&lt;=-100%),"&gt;100%",((AU70-AP70)/ABS(AP70)))</f>
        <v>-0.22558139534883728</v>
      </c>
      <c r="AV71" s="117" t="s">
        <v>127</v>
      </c>
      <c r="AW71" s="118" t="s">
        <v>127</v>
      </c>
      <c r="AX71" s="333">
        <f>IF(OR(((AX70-AS70)/AS70)&gt;=100%,((AX70-AS70)/AS70)&lt;=-100%),"&gt;100%",((AX70-AS70)/ABS(AS70)))</f>
        <v>-4.9433573635427365E-2</v>
      </c>
      <c r="AY71" s="341" t="s">
        <v>127</v>
      </c>
      <c r="AZ71" s="115">
        <f>IF(OR(((AZ70-AU70)/AU70)&gt;=100%,((AZ70-AU70)/AU70)&lt;=-100%),"&gt;100%",((AZ70-AU70)/ABS(AU70)))</f>
        <v>0.69669669669669687</v>
      </c>
      <c r="BA71" s="117" t="s">
        <v>127</v>
      </c>
      <c r="BB71" s="118" t="s">
        <v>127</v>
      </c>
      <c r="BC71" s="346">
        <f>BC70/AX70-1</f>
        <v>0.4842903575297941</v>
      </c>
      <c r="BD71" s="341" t="s">
        <v>127</v>
      </c>
      <c r="BE71" s="115">
        <f>IF(OR(((BE70-AZ70)/AZ70)&gt;=100%,((BE70-AZ70)/AZ70)&lt;=-100%),"&gt;100%",((BE70-AZ70)/ABS(AZ70)))</f>
        <v>-3.5398230088495575E-2</v>
      </c>
      <c r="BF71" s="117" t="s">
        <v>127</v>
      </c>
      <c r="BG71" s="118" t="s">
        <v>127</v>
      </c>
      <c r="BH71" s="346">
        <f>BH70/BC70-1</f>
        <v>6.8613138686131503E-2</v>
      </c>
      <c r="BI71" s="341" t="s">
        <v>127</v>
      </c>
      <c r="BJ71" s="115">
        <v>-0.64954128440366965</v>
      </c>
      <c r="BK71" s="117"/>
      <c r="BL71" s="118" t="s">
        <v>127</v>
      </c>
      <c r="BM71" s="346">
        <f>BM70/BH70-1</f>
        <v>-0.30259562841530063</v>
      </c>
      <c r="BN71" s="424" t="s">
        <v>127</v>
      </c>
      <c r="BO71" s="435">
        <v>0.72299999999999998</v>
      </c>
      <c r="BP71" s="117"/>
      <c r="BQ71" s="118"/>
      <c r="BR71" s="346">
        <f>BR70/BM70-1</f>
        <v>4.3095004897159672E-2</v>
      </c>
      <c r="BS71" s="424" t="s">
        <v>127</v>
      </c>
      <c r="BT71" s="425">
        <f>BT70/BO70-1</f>
        <v>0.56838905775075999</v>
      </c>
      <c r="BU71" s="118"/>
      <c r="BV71" s="346"/>
      <c r="BW71" s="346">
        <f>BW70/BR70-1</f>
        <v>8.0751173708920154E-2</v>
      </c>
      <c r="BX71" s="424" t="s">
        <v>127</v>
      </c>
      <c r="BY71" s="425">
        <v>0.30399999999999999</v>
      </c>
      <c r="BZ71" s="118"/>
      <c r="CA71" s="346"/>
      <c r="CB71" s="346">
        <v>0.33600000000000002</v>
      </c>
      <c r="CC71" s="424" t="s">
        <v>127</v>
      </c>
      <c r="CD71" s="425">
        <v>0.75800000000000001</v>
      </c>
      <c r="CE71" s="118"/>
      <c r="CF71" s="346"/>
      <c r="CG71" s="346"/>
    </row>
    <row r="72" spans="1:85">
      <c r="A72" s="328" t="s">
        <v>103</v>
      </c>
      <c r="B72" s="288"/>
      <c r="C72" s="334">
        <v>4.7701647875108416E-3</v>
      </c>
      <c r="D72" s="290">
        <v>0.10081037277147488</v>
      </c>
      <c r="E72" s="290">
        <v>0.14187643020594964</v>
      </c>
      <c r="F72" s="291">
        <v>3.8599283724631908E-2</v>
      </c>
      <c r="G72" s="335">
        <v>8.0263157894736856E-2</v>
      </c>
      <c r="H72" s="334">
        <f t="shared" ref="H72:Y72" si="50">+H70/H19</f>
        <v>-2.0859940400170286E-2</v>
      </c>
      <c r="I72" s="290">
        <f t="shared" si="50"/>
        <v>0.10376544984190861</v>
      </c>
      <c r="J72" s="290">
        <f t="shared" si="50"/>
        <v>9.916367980884111E-2</v>
      </c>
      <c r="K72" s="291">
        <f t="shared" si="50"/>
        <v>4.7560475604756042E-2</v>
      </c>
      <c r="L72" s="291">
        <f t="shared" si="50"/>
        <v>6.5432630219543694E-2</v>
      </c>
      <c r="M72" s="335">
        <f t="shared" si="50"/>
        <v>6.5432630219543694E-2</v>
      </c>
      <c r="N72" s="334">
        <f t="shared" si="50"/>
        <v>-4.3630017452006981E-2</v>
      </c>
      <c r="O72" s="290">
        <f t="shared" si="50"/>
        <v>4.8795746011886146E-2</v>
      </c>
      <c r="P72" s="290">
        <f t="shared" si="50"/>
        <v>7.6968100673105069E-2</v>
      </c>
      <c r="Q72" s="291">
        <f t="shared" si="50"/>
        <v>-2.0194174757281559E-2</v>
      </c>
      <c r="R72" s="335">
        <f t="shared" si="50"/>
        <v>2.3255813953488372E-2</v>
      </c>
      <c r="S72" s="334">
        <f t="shared" si="50"/>
        <v>-4.3630017452006981E-2</v>
      </c>
      <c r="T72" s="290">
        <f t="shared" si="50"/>
        <v>4.8795746011886146E-2</v>
      </c>
      <c r="U72" s="290">
        <f t="shared" si="50"/>
        <v>7.6968100673105111E-2</v>
      </c>
      <c r="V72" s="291">
        <f t="shared" si="50"/>
        <v>-1.9817704854368911E-2</v>
      </c>
      <c r="W72" s="335">
        <f t="shared" si="50"/>
        <v>2.3340249978224901E-2</v>
      </c>
      <c r="X72" s="334">
        <f t="shared" si="50"/>
        <v>-6.8139963167587483E-2</v>
      </c>
      <c r="Y72" s="290">
        <f t="shared" si="50"/>
        <v>6.0291734197730963E-2</v>
      </c>
      <c r="Z72" s="290"/>
      <c r="AA72" s="290">
        <f t="shared" ref="AA72:AI72" si="51">+AA70/AA19</f>
        <v>0.11242196878751502</v>
      </c>
      <c r="AB72" s="291">
        <f t="shared" si="51"/>
        <v>8.297542243202279E-4</v>
      </c>
      <c r="AC72" s="335">
        <f t="shared" si="51"/>
        <v>3.7630879492709664E-2</v>
      </c>
      <c r="AD72" s="334">
        <f t="shared" si="51"/>
        <v>-4.3757838352826511E-2</v>
      </c>
      <c r="AE72" s="290">
        <f t="shared" si="51"/>
        <v>0.10818030050083471</v>
      </c>
      <c r="AF72" s="290">
        <f t="shared" si="51"/>
        <v>4.6364176738656636E-2</v>
      </c>
      <c r="AG72" s="290">
        <f t="shared" si="51"/>
        <v>0.10455145118733508</v>
      </c>
      <c r="AH72" s="291">
        <f t="shared" si="51"/>
        <v>1.1372867587327374E-2</v>
      </c>
      <c r="AI72" s="335">
        <f t="shared" si="51"/>
        <v>5.4928374916990798E-2</v>
      </c>
      <c r="AJ72" s="342" t="s">
        <v>127</v>
      </c>
      <c r="AK72" s="290">
        <f>+AK70/AK19</f>
        <v>8.5319712447975787E-2</v>
      </c>
      <c r="AL72" s="292" t="s">
        <v>127</v>
      </c>
      <c r="AM72" s="293" t="s">
        <v>127</v>
      </c>
      <c r="AN72" s="335">
        <f>+AN70/AN19</f>
        <v>9.0293040293040291E-2</v>
      </c>
      <c r="AO72" s="342" t="s">
        <v>127</v>
      </c>
      <c r="AP72" s="290">
        <f>+AP70/AP19</f>
        <v>8.1624905087319677E-2</v>
      </c>
      <c r="AQ72" s="292" t="s">
        <v>127</v>
      </c>
      <c r="AR72" s="293" t="s">
        <v>127</v>
      </c>
      <c r="AS72" s="347">
        <f>+AS70/AS19</f>
        <v>8.8740632425516344E-2</v>
      </c>
      <c r="AT72" s="342" t="s">
        <v>127</v>
      </c>
      <c r="AU72" s="290">
        <v>0.06</v>
      </c>
      <c r="AV72" s="292" t="s">
        <v>127</v>
      </c>
      <c r="AW72" s="293" t="s">
        <v>127</v>
      </c>
      <c r="AX72" s="335">
        <f>+AX70/AX19</f>
        <v>7.8660303391852732E-2</v>
      </c>
      <c r="AY72" s="342" t="s">
        <v>127</v>
      </c>
      <c r="AZ72" s="290">
        <v>9.1999999999999998E-2</v>
      </c>
      <c r="BA72" s="292" t="s">
        <v>127</v>
      </c>
      <c r="BB72" s="293" t="s">
        <v>127</v>
      </c>
      <c r="BC72" s="347">
        <v>0.105</v>
      </c>
      <c r="BD72" s="342" t="s">
        <v>127</v>
      </c>
      <c r="BE72" s="290">
        <v>8.5000000000000006E-2</v>
      </c>
      <c r="BF72" s="292" t="s">
        <v>127</v>
      </c>
      <c r="BG72" s="293" t="s">
        <v>127</v>
      </c>
      <c r="BH72" s="347">
        <v>0.108</v>
      </c>
      <c r="BI72" s="342" t="s">
        <v>127</v>
      </c>
      <c r="BJ72" s="290">
        <v>3.6999999999999998E-2</v>
      </c>
      <c r="BK72" s="292"/>
      <c r="BL72" s="293" t="s">
        <v>127</v>
      </c>
      <c r="BM72" s="347">
        <v>8.6999999999999994E-2</v>
      </c>
      <c r="BN72" s="426" t="s">
        <v>127</v>
      </c>
      <c r="BO72" s="436">
        <v>5.5E-2</v>
      </c>
      <c r="BP72" s="292"/>
      <c r="BQ72" s="293"/>
      <c r="BR72" s="347">
        <v>7.8E-2</v>
      </c>
      <c r="BS72" s="426" t="s">
        <v>127</v>
      </c>
      <c r="BT72" s="427">
        <v>6.5000000000000002E-2</v>
      </c>
      <c r="BU72" s="293"/>
      <c r="BV72" s="347"/>
      <c r="BW72" s="347">
        <v>6.7000000000000004E-2</v>
      </c>
      <c r="BX72" s="426" t="s">
        <v>127</v>
      </c>
      <c r="BY72" s="427">
        <v>6.8000000000000005E-2</v>
      </c>
      <c r="BZ72" s="293"/>
      <c r="CA72" s="347"/>
      <c r="CB72" s="347">
        <v>7.3999999999999996E-2</v>
      </c>
      <c r="CC72" s="426" t="s">
        <v>127</v>
      </c>
      <c r="CD72" s="427">
        <v>0.105</v>
      </c>
      <c r="CE72" s="293"/>
      <c r="CF72" s="347"/>
      <c r="CG72" s="347"/>
    </row>
    <row r="73" spans="1:85">
      <c r="A73" s="326" t="s">
        <v>15</v>
      </c>
      <c r="B73" s="72">
        <f>'Annual Segmental Analysis'!C49</f>
        <v>226.3</v>
      </c>
      <c r="C73" s="223">
        <v>8.1</v>
      </c>
      <c r="D73" s="111">
        <v>129.5</v>
      </c>
      <c r="E73" s="111">
        <v>141.1</v>
      </c>
      <c r="F73" s="112">
        <v>21.8</v>
      </c>
      <c r="G73" s="225">
        <v>300.5</v>
      </c>
      <c r="H73" s="223">
        <v>-8.9</v>
      </c>
      <c r="I73" s="111">
        <v>87.9</v>
      </c>
      <c r="J73" s="111">
        <v>88.2</v>
      </c>
      <c r="K73" s="112">
        <v>41.8</v>
      </c>
      <c r="L73" s="112">
        <f>SUM(H73:K73)</f>
        <v>209</v>
      </c>
      <c r="M73" s="225">
        <v>197.8</v>
      </c>
      <c r="N73" s="223">
        <v>-9.1</v>
      </c>
      <c r="O73" s="111">
        <v>118.7</v>
      </c>
      <c r="P73" s="111">
        <v>121.2</v>
      </c>
      <c r="Q73" s="112">
        <v>46.20000000000001</v>
      </c>
      <c r="R73" s="225">
        <v>277</v>
      </c>
      <c r="S73" s="223">
        <v>-8.7822807300000001</v>
      </c>
      <c r="T73" s="111">
        <v>114.55013095</v>
      </c>
      <c r="U73" s="111">
        <f>W73-T73-S73-V73</f>
        <v>112.43214978000003</v>
      </c>
      <c r="V73" s="112">
        <v>48.1</v>
      </c>
      <c r="W73" s="225">
        <v>266.3</v>
      </c>
      <c r="X73" s="223">
        <v>2.72</v>
      </c>
      <c r="Y73" s="111">
        <v>110.1</v>
      </c>
      <c r="Z73" s="111">
        <f>Y73+X73</f>
        <v>112.82</v>
      </c>
      <c r="AA73" s="111">
        <v>95.588999999999999</v>
      </c>
      <c r="AB73" s="112">
        <v>54.40343182670059</v>
      </c>
      <c r="AC73" s="225">
        <v>262.70343182670058</v>
      </c>
      <c r="AD73" s="223">
        <v>-11.58509098</v>
      </c>
      <c r="AE73" s="111">
        <v>90.8</v>
      </c>
      <c r="AF73" s="111">
        <v>79.2</v>
      </c>
      <c r="AG73" s="111">
        <v>103.8</v>
      </c>
      <c r="AH73" s="112">
        <v>37.1</v>
      </c>
      <c r="AI73" s="225">
        <v>220.10000000000002</v>
      </c>
      <c r="AJ73" s="340" t="s">
        <v>127</v>
      </c>
      <c r="AK73" s="111">
        <v>89.8</v>
      </c>
      <c r="AL73" s="113" t="s">
        <v>127</v>
      </c>
      <c r="AM73" s="114" t="s">
        <v>127</v>
      </c>
      <c r="AN73" s="225">
        <v>175.8</v>
      </c>
      <c r="AO73" s="340" t="s">
        <v>127</v>
      </c>
      <c r="AP73" s="111">
        <v>82.8</v>
      </c>
      <c r="AQ73" s="113" t="s">
        <v>127</v>
      </c>
      <c r="AR73" s="114" t="s">
        <v>127</v>
      </c>
      <c r="AS73" s="224">
        <v>178.1</v>
      </c>
      <c r="AT73" s="340" t="s">
        <v>127</v>
      </c>
      <c r="AU73" s="111">
        <v>151.1</v>
      </c>
      <c r="AV73" s="113" t="s">
        <v>127</v>
      </c>
      <c r="AW73" s="114" t="s">
        <v>127</v>
      </c>
      <c r="AX73" s="224">
        <v>278.3</v>
      </c>
      <c r="AY73" s="340" t="s">
        <v>127</v>
      </c>
      <c r="AZ73" s="111">
        <v>143.19999999999999</v>
      </c>
      <c r="BA73" s="113" t="s">
        <v>127</v>
      </c>
      <c r="BB73" s="114" t="s">
        <v>127</v>
      </c>
      <c r="BC73" s="224">
        <v>303</v>
      </c>
      <c r="BD73" s="340" t="s">
        <v>127</v>
      </c>
      <c r="BE73" s="111">
        <v>157.4</v>
      </c>
      <c r="BF73" s="113" t="s">
        <v>127</v>
      </c>
      <c r="BG73" s="114" t="s">
        <v>127</v>
      </c>
      <c r="BH73" s="224">
        <v>356.1</v>
      </c>
      <c r="BI73" s="340" t="s">
        <v>127</v>
      </c>
      <c r="BJ73" s="111">
        <v>140</v>
      </c>
      <c r="BK73" s="113"/>
      <c r="BL73" s="114" t="s">
        <v>127</v>
      </c>
      <c r="BM73" s="224">
        <v>361.2</v>
      </c>
      <c r="BN73" s="422" t="s">
        <v>127</v>
      </c>
      <c r="BO73" s="434">
        <v>208.8</v>
      </c>
      <c r="BP73" s="113"/>
      <c r="BQ73" s="114"/>
      <c r="BR73" s="224">
        <v>423.7</v>
      </c>
      <c r="BS73" s="422" t="s">
        <v>127</v>
      </c>
      <c r="BT73" s="423">
        <v>270.7</v>
      </c>
      <c r="BU73" s="114"/>
      <c r="BV73" s="224"/>
      <c r="BW73" s="224">
        <v>507.5</v>
      </c>
      <c r="BX73" s="422" t="s">
        <v>127</v>
      </c>
      <c r="BY73" s="423">
        <v>322.10000000000002</v>
      </c>
      <c r="BZ73" s="114"/>
      <c r="CA73" s="224"/>
      <c r="CB73" s="224">
        <v>548.9</v>
      </c>
      <c r="CC73" s="422" t="s">
        <v>127</v>
      </c>
      <c r="CD73" s="423">
        <v>251.7</v>
      </c>
      <c r="CE73" s="114"/>
      <c r="CF73" s="224"/>
      <c r="CG73" s="224"/>
    </row>
    <row r="74" spans="1:85">
      <c r="A74" s="327" t="s">
        <v>141</v>
      </c>
      <c r="B74" s="168"/>
      <c r="C74" s="332">
        <v>0.5576923076923076</v>
      </c>
      <c r="D74" s="115">
        <v>0.16247755834829439</v>
      </c>
      <c r="E74" s="115">
        <v>0.42958459979736563</v>
      </c>
      <c r="F74" s="116">
        <v>0.98181818181818192</v>
      </c>
      <c r="G74" s="333">
        <v>0.32788334069818825</v>
      </c>
      <c r="H74" s="332">
        <f>+H73/C73-1</f>
        <v>-2.0987654320987654</v>
      </c>
      <c r="I74" s="115">
        <f>+I73/D73-1</f>
        <v>-0.32123552123552124</v>
      </c>
      <c r="J74" s="115">
        <f>+J73/E73-1</f>
        <v>-0.37491141034727138</v>
      </c>
      <c r="K74" s="116">
        <f>+K73/F73-1</f>
        <v>0.91743119266055029</v>
      </c>
      <c r="L74" s="116">
        <f>L73/G73-1</f>
        <v>-0.30449251247920128</v>
      </c>
      <c r="M74" s="333">
        <f>M73/G73-1</f>
        <v>-0.34176372712146419</v>
      </c>
      <c r="N74" s="332">
        <f>+N73/H73-1</f>
        <v>2.2471910112359383E-2</v>
      </c>
      <c r="O74" s="115">
        <f>+O73/I73-1</f>
        <v>0.35039817974971554</v>
      </c>
      <c r="P74" s="115">
        <f>+P73/J73-1</f>
        <v>0.37414965986394555</v>
      </c>
      <c r="Q74" s="116">
        <f>+Q73/K73-1</f>
        <v>0.10526315789473717</v>
      </c>
      <c r="R74" s="333">
        <f>+R73/L73-1</f>
        <v>0.32535885167464107</v>
      </c>
      <c r="S74" s="332" t="s">
        <v>61</v>
      </c>
      <c r="T74" s="115" t="s">
        <v>61</v>
      </c>
      <c r="U74" s="115" t="s">
        <v>61</v>
      </c>
      <c r="V74" s="116" t="e">
        <f>V73/AM73-1</f>
        <v>#VALUE!</v>
      </c>
      <c r="W74" s="333">
        <f>W73/M73-1</f>
        <v>0.34630940343781602</v>
      </c>
      <c r="X74" s="332" t="str">
        <f>IF(OR(((X73-S73)/S73)&gt;=100%,((X73-S73)/S73)&lt;=-100%),"&gt;100%",((X73-S73)/ABS(S73)))</f>
        <v>&gt;100%</v>
      </c>
      <c r="Y74" s="115">
        <f>IF(OR(((Y73-T73)/T73)&gt;=100%,((Y73-T73)/T73)&lt;=-100%),"&gt;100%",((Y73-T73)/ABS(T73)))</f>
        <v>-3.8848763533430093E-2</v>
      </c>
      <c r="Z74" s="115"/>
      <c r="AA74" s="115">
        <f t="shared" ref="AA74:AI74" si="52">IF(OR(((AA73-U73)/U73)&gt;=100%,((AA73-U73)/U73)&lt;=-100%),"&gt;100%",((AA73-U73)/ABS(U73)))</f>
        <v>-0.14980723763583301</v>
      </c>
      <c r="AB74" s="116">
        <f t="shared" si="52"/>
        <v>0.13104847872558395</v>
      </c>
      <c r="AC74" s="333">
        <f t="shared" si="52"/>
        <v>-1.3505700988732374E-2</v>
      </c>
      <c r="AD74" s="332" t="str">
        <f t="shared" si="52"/>
        <v>&gt;100%</v>
      </c>
      <c r="AE74" s="115">
        <f t="shared" si="52"/>
        <v>-0.17529518619436874</v>
      </c>
      <c r="AF74" s="115">
        <f t="shared" si="52"/>
        <v>-0.2979968090764048</v>
      </c>
      <c r="AG74" s="115">
        <f t="shared" si="52"/>
        <v>8.5899005115651364E-2</v>
      </c>
      <c r="AH74" s="116">
        <f t="shared" si="52"/>
        <v>-0.31805772624454659</v>
      </c>
      <c r="AI74" s="333">
        <f t="shared" si="52"/>
        <v>-0.1621731072580927</v>
      </c>
      <c r="AJ74" s="341" t="s">
        <v>127</v>
      </c>
      <c r="AK74" s="115">
        <f>IF(OR(((AK73-AF73)/AF73)&gt;=100%,((AK73-AF73)/AF73)&lt;=-100%),"&gt;100%",((AK73-AF73)/ABS(AF73)))</f>
        <v>0.13383838383838376</v>
      </c>
      <c r="AL74" s="117" t="s">
        <v>127</v>
      </c>
      <c r="AM74" s="118" t="s">
        <v>127</v>
      </c>
      <c r="AN74" s="333">
        <f>IF(OR(((AN73-AI73)/AI73)&gt;=100%,((AN73-AI73)/AI73)&lt;=-100%),"&gt;100%",((AN73-AI73)/ABS(AI73)))</f>
        <v>-0.20127214902317131</v>
      </c>
      <c r="AO74" s="341" t="s">
        <v>127</v>
      </c>
      <c r="AP74" s="115">
        <f>IF(OR(((AP73-AK73)/AK73)&gt;=100%,((AP73-AK73)/AK73)&lt;=-100%),"&gt;100%",((AP73-AK73)/ABS(AK73)))</f>
        <v>-7.7951002227171495E-2</v>
      </c>
      <c r="AQ74" s="117" t="s">
        <v>127</v>
      </c>
      <c r="AR74" s="118" t="s">
        <v>127</v>
      </c>
      <c r="AS74" s="346">
        <f>IF(OR(((AS73-AN73)/AN73)&gt;=100%,((AS73-AN73)/AN73)&lt;=-100%),"&gt;100%",((AS73-AN73)/ABS(AN73)))</f>
        <v>1.3083048919226296E-2</v>
      </c>
      <c r="AT74" s="341" t="s">
        <v>127</v>
      </c>
      <c r="AU74" s="115">
        <f>IF(OR(((AU73-AP73)/AP73)&gt;=100%,((AU73-AP73)/AP73)&lt;=-100%),"&gt;100%",((AU73-AP73)/ABS(AP73)))</f>
        <v>0.8248792270531401</v>
      </c>
      <c r="AV74" s="117" t="s">
        <v>127</v>
      </c>
      <c r="AW74" s="118" t="s">
        <v>127</v>
      </c>
      <c r="AX74" s="333">
        <f>IF(OR(((AX73-AS73)/AS73)&gt;=100%,((AX73-AS73)/AS73)&lt;=-100%),"&gt;100%",((AX73-AS73)/ABS(AS73)))</f>
        <v>0.56260527793374515</v>
      </c>
      <c r="AY74" s="341" t="s">
        <v>127</v>
      </c>
      <c r="AZ74" s="115">
        <f>IF(OR(((AZ73-AU73)/AU73)&gt;=100%,((AZ73-AU73)/AU73)&lt;=-100%),"&gt;100%",((AZ73-AU73)/ABS(AU73)))</f>
        <v>-5.2283256121773702E-2</v>
      </c>
      <c r="BA74" s="117" t="s">
        <v>127</v>
      </c>
      <c r="BB74" s="118" t="s">
        <v>127</v>
      </c>
      <c r="BC74" s="346">
        <f>BC73/AX73-1</f>
        <v>8.8753144089112501E-2</v>
      </c>
      <c r="BD74" s="341" t="s">
        <v>127</v>
      </c>
      <c r="BE74" s="115">
        <f>IF(OR(((BE73-AZ73)/AZ73)&gt;=100%,((BE73-AZ73)/AZ73)&lt;=-100%),"&gt;100%",((BE73-AZ73)/ABS(AZ73)))</f>
        <v>9.9162011173184489E-2</v>
      </c>
      <c r="BF74" s="117" t="s">
        <v>127</v>
      </c>
      <c r="BG74" s="118" t="s">
        <v>127</v>
      </c>
      <c r="BH74" s="346">
        <f>BH73/BC73-1</f>
        <v>0.1752475247524754</v>
      </c>
      <c r="BI74" s="341" t="s">
        <v>127</v>
      </c>
      <c r="BJ74" s="115">
        <v>-0.11054637865311312</v>
      </c>
      <c r="BK74" s="117"/>
      <c r="BL74" s="118" t="s">
        <v>127</v>
      </c>
      <c r="BM74" s="346">
        <f>BM73/BH73-1</f>
        <v>1.4321819713563499E-2</v>
      </c>
      <c r="BN74" s="424" t="s">
        <v>127</v>
      </c>
      <c r="BO74" s="435">
        <v>0.49099999999999999</v>
      </c>
      <c r="BP74" s="117"/>
      <c r="BQ74" s="118"/>
      <c r="BR74" s="346">
        <f>BR73/BM73-1</f>
        <v>0.17303433001107416</v>
      </c>
      <c r="BS74" s="424" t="s">
        <v>127</v>
      </c>
      <c r="BT74" s="425">
        <f>BT73/BO73-1</f>
        <v>0.29645593869731779</v>
      </c>
      <c r="BU74" s="118"/>
      <c r="BV74" s="346"/>
      <c r="BW74" s="346">
        <f>BW73/BR73-1</f>
        <v>0.19778144913854145</v>
      </c>
      <c r="BX74" s="424" t="s">
        <v>127</v>
      </c>
      <c r="BY74" s="425">
        <v>0.19</v>
      </c>
      <c r="BZ74" s="118"/>
      <c r="CA74" s="346"/>
      <c r="CB74" s="346">
        <v>8.2000000000000003E-2</v>
      </c>
      <c r="CC74" s="424" t="s">
        <v>127</v>
      </c>
      <c r="CD74" s="425">
        <v>-0.219</v>
      </c>
      <c r="CE74" s="118"/>
      <c r="CF74" s="346"/>
      <c r="CG74" s="346"/>
    </row>
    <row r="75" spans="1:85">
      <c r="A75" s="328" t="s">
        <v>103</v>
      </c>
      <c r="B75" s="288"/>
      <c r="C75" s="334">
        <v>1.5511298353121407E-2</v>
      </c>
      <c r="D75" s="290">
        <v>0.15700775945683804</v>
      </c>
      <c r="E75" s="290">
        <v>0.16386017884101728</v>
      </c>
      <c r="F75" s="291">
        <v>3.5685054837125557E-2</v>
      </c>
      <c r="G75" s="335">
        <v>0.10659808442710181</v>
      </c>
      <c r="H75" s="334">
        <f t="shared" ref="H75:Y75" si="53">+H73/H21</f>
        <v>-1.5901375737001965E-2</v>
      </c>
      <c r="I75" s="290">
        <f t="shared" si="53"/>
        <v>0.10569985569985571</v>
      </c>
      <c r="J75" s="290">
        <f t="shared" si="53"/>
        <v>0.10834049871023216</v>
      </c>
      <c r="K75" s="291">
        <f t="shared" si="53"/>
        <v>6.1434450323339211E-2</v>
      </c>
      <c r="L75" s="291">
        <f t="shared" si="53"/>
        <v>7.24235913784739E-2</v>
      </c>
      <c r="M75" s="335">
        <f t="shared" si="53"/>
        <v>6.9943422913719952E-2</v>
      </c>
      <c r="N75" s="334">
        <f t="shared" si="53"/>
        <v>-1.5343112459956161E-2</v>
      </c>
      <c r="O75" s="290">
        <f t="shared" si="53"/>
        <v>0.12615580826867892</v>
      </c>
      <c r="P75" s="290">
        <f t="shared" si="53"/>
        <v>0.12805071315372424</v>
      </c>
      <c r="Q75" s="291">
        <f t="shared" si="53"/>
        <v>5.9490084985835717E-2</v>
      </c>
      <c r="R75" s="335">
        <f t="shared" si="53"/>
        <v>8.5044978661999934E-2</v>
      </c>
      <c r="S75" s="334">
        <f t="shared" si="53"/>
        <v>-1.5038151934931507E-2</v>
      </c>
      <c r="T75" s="290">
        <f t="shared" si="53"/>
        <v>0.12422744924628565</v>
      </c>
      <c r="U75" s="290">
        <f t="shared" si="53"/>
        <v>0.12179845063373415</v>
      </c>
      <c r="V75" s="291">
        <f t="shared" si="53"/>
        <v>6.2826541274817141E-2</v>
      </c>
      <c r="W75" s="335">
        <f t="shared" si="53"/>
        <v>8.3354200575935899E-2</v>
      </c>
      <c r="X75" s="334">
        <f t="shared" si="53"/>
        <v>4.2222912139087236E-3</v>
      </c>
      <c r="Y75" s="290">
        <f t="shared" si="53"/>
        <v>0.11669316375198728</v>
      </c>
      <c r="Z75" s="290"/>
      <c r="AA75" s="290">
        <f t="shared" ref="AA75:AI75" si="54">+AA73/AA21</f>
        <v>0.11015095644157641</v>
      </c>
      <c r="AB75" s="291">
        <f t="shared" si="54"/>
        <v>7.0352297719773166E-2</v>
      </c>
      <c r="AC75" s="335">
        <f t="shared" si="54"/>
        <v>8.1362559411143634E-2</v>
      </c>
      <c r="AD75" s="334">
        <f t="shared" si="54"/>
        <v>-1.9373061839464883E-2</v>
      </c>
      <c r="AE75" s="290">
        <f t="shared" si="54"/>
        <v>0.10652275926794932</v>
      </c>
      <c r="AF75" s="290">
        <f t="shared" si="54"/>
        <v>5.4605626034197462E-2</v>
      </c>
      <c r="AG75" s="290">
        <f t="shared" si="54"/>
        <v>0.12161687170474517</v>
      </c>
      <c r="AH75" s="291">
        <f t="shared" si="54"/>
        <v>5.2751315228209875E-2</v>
      </c>
      <c r="AI75" s="335">
        <f t="shared" si="54"/>
        <v>7.3191008246874176E-2</v>
      </c>
      <c r="AJ75" s="342" t="s">
        <v>127</v>
      </c>
      <c r="AK75" s="290">
        <f>+AK73/AK21</f>
        <v>6.4823503934165888E-2</v>
      </c>
      <c r="AL75" s="292" t="s">
        <v>127</v>
      </c>
      <c r="AM75" s="293" t="s">
        <v>127</v>
      </c>
      <c r="AN75" s="335">
        <f>+AN73/AN21</f>
        <v>6.3500521117263162E-2</v>
      </c>
      <c r="AO75" s="342" t="s">
        <v>127</v>
      </c>
      <c r="AP75" s="290">
        <f>+AP73/AP21</f>
        <v>6.2514156285390712E-2</v>
      </c>
      <c r="AQ75" s="292" t="s">
        <v>127</v>
      </c>
      <c r="AR75" s="293" t="s">
        <v>127</v>
      </c>
      <c r="AS75" s="347">
        <f>+AS73/AS21</f>
        <v>6.5549358546368702E-2</v>
      </c>
      <c r="AT75" s="342" t="s">
        <v>127</v>
      </c>
      <c r="AU75" s="290">
        <v>0.104</v>
      </c>
      <c r="AV75" s="292" t="s">
        <v>127</v>
      </c>
      <c r="AW75" s="293" t="s">
        <v>127</v>
      </c>
      <c r="AX75" s="335">
        <f>+AX73/AX21</f>
        <v>9.5560210143185789E-2</v>
      </c>
      <c r="AY75" s="342" t="s">
        <v>127</v>
      </c>
      <c r="AZ75" s="290">
        <v>0.10199999999999999</v>
      </c>
      <c r="BA75" s="292" t="s">
        <v>127</v>
      </c>
      <c r="BB75" s="293" t="s">
        <v>127</v>
      </c>
      <c r="BC75" s="347">
        <v>0.105</v>
      </c>
      <c r="BD75" s="342" t="s">
        <v>127</v>
      </c>
      <c r="BE75" s="290">
        <v>0.107</v>
      </c>
      <c r="BF75" s="292" t="s">
        <v>127</v>
      </c>
      <c r="BG75" s="293" t="s">
        <v>127</v>
      </c>
      <c r="BH75" s="347">
        <v>0.113</v>
      </c>
      <c r="BI75" s="342" t="s">
        <v>127</v>
      </c>
      <c r="BJ75" s="290">
        <v>0.106</v>
      </c>
      <c r="BK75" s="292"/>
      <c r="BL75" s="293" t="s">
        <v>127</v>
      </c>
      <c r="BM75" s="347">
        <v>0.13</v>
      </c>
      <c r="BN75" s="426" t="s">
        <v>127</v>
      </c>
      <c r="BO75" s="436">
        <v>0.14000000000000001</v>
      </c>
      <c r="BP75" s="292"/>
      <c r="BQ75" s="293"/>
      <c r="BR75" s="347">
        <v>0.127</v>
      </c>
      <c r="BS75" s="426" t="s">
        <v>127</v>
      </c>
      <c r="BT75" s="427">
        <v>0.13300000000000001</v>
      </c>
      <c r="BU75" s="293"/>
      <c r="BV75" s="347"/>
      <c r="BW75" s="347">
        <v>0.113</v>
      </c>
      <c r="BX75" s="426" t="s">
        <v>127</v>
      </c>
      <c r="BY75" s="427">
        <v>0.13400000000000001</v>
      </c>
      <c r="BZ75" s="293"/>
      <c r="CA75" s="347"/>
      <c r="CB75" s="347">
        <v>0.11600000000000001</v>
      </c>
      <c r="CC75" s="426" t="s">
        <v>127</v>
      </c>
      <c r="CD75" s="427">
        <v>0.108</v>
      </c>
      <c r="CE75" s="293"/>
      <c r="CF75" s="347"/>
      <c r="CG75" s="347"/>
    </row>
    <row r="76" spans="1:85">
      <c r="A76" s="329" t="s">
        <v>140</v>
      </c>
      <c r="B76" s="75">
        <f>'Annual Segmental Analysis'!C52</f>
        <v>650.90000000000009</v>
      </c>
      <c r="C76" s="221">
        <v>57</v>
      </c>
      <c r="D76" s="119">
        <v>264.8</v>
      </c>
      <c r="E76" s="119">
        <v>301</v>
      </c>
      <c r="F76" s="120">
        <v>63.8</v>
      </c>
      <c r="G76" s="222">
        <v>686.59999999999991</v>
      </c>
      <c r="H76" s="221">
        <f>+H73+H70+H67</f>
        <v>27.7</v>
      </c>
      <c r="I76" s="119">
        <f>+I73+I70+I67</f>
        <v>221</v>
      </c>
      <c r="J76" s="119">
        <f>+J73+J70+J67</f>
        <v>219.60000000000002</v>
      </c>
      <c r="K76" s="120">
        <f>+K73+K70+K67</f>
        <v>73</v>
      </c>
      <c r="L76" s="120">
        <f>SUM(H76:K76)</f>
        <v>541.29999999999995</v>
      </c>
      <c r="M76" s="222">
        <f>+M73+M70+M67</f>
        <v>522.79999999999995</v>
      </c>
      <c r="N76" s="221">
        <f>+N73+N70+N67</f>
        <v>-1.6000000000000014</v>
      </c>
      <c r="O76" s="119">
        <f>+O73+O70+O67</f>
        <v>193.3</v>
      </c>
      <c r="P76" s="119">
        <f>+P73+P70+P67</f>
        <v>220.6</v>
      </c>
      <c r="Q76" s="120">
        <v>52.899999999999984</v>
      </c>
      <c r="R76" s="222">
        <f>+R73+R70+R67</f>
        <v>465.2</v>
      </c>
      <c r="S76" s="221">
        <f t="shared" ref="S76:X76" si="55">+S73+S70+S67</f>
        <v>-1.0822807300000008</v>
      </c>
      <c r="T76" s="119">
        <f t="shared" si="55"/>
        <v>187.75013095</v>
      </c>
      <c r="U76" s="119">
        <f t="shared" si="55"/>
        <v>210.83214978000004</v>
      </c>
      <c r="V76" s="120">
        <f t="shared" si="55"/>
        <v>55.596941000000008</v>
      </c>
      <c r="W76" s="222">
        <f t="shared" si="55"/>
        <v>453.09694100000002</v>
      </c>
      <c r="X76" s="221">
        <f t="shared" si="55"/>
        <v>-0.98000000000000043</v>
      </c>
      <c r="Y76" s="119">
        <f>+Y73+Y70+Y67</f>
        <v>179.2</v>
      </c>
      <c r="Z76" s="119">
        <f>+Z73+Z70+Z67</f>
        <v>178.22</v>
      </c>
      <c r="AA76" s="119">
        <v>207.4</v>
      </c>
      <c r="AB76" s="120">
        <f>+AB73+AB70+AB67</f>
        <v>68.30900351999999</v>
      </c>
      <c r="AC76" s="222">
        <f>+AC73+AC70+AC67</f>
        <v>453.90900351999994</v>
      </c>
      <c r="AD76" s="221">
        <f>+AD73+AD70+AD67</f>
        <v>-26.789634239999998</v>
      </c>
      <c r="AE76" s="119">
        <f>+AE73+AE70+AE67</f>
        <v>193.7</v>
      </c>
      <c r="AF76" s="119">
        <f>+AF73+AF70+AF67</f>
        <v>166.9</v>
      </c>
      <c r="AG76" s="119">
        <v>200.9</v>
      </c>
      <c r="AH76" s="120">
        <f>+AH73+AH70+AH67</f>
        <v>56.9</v>
      </c>
      <c r="AI76" s="222">
        <f>+AI73+AI70+AI67</f>
        <v>424.7</v>
      </c>
      <c r="AJ76" s="343" t="s">
        <v>127</v>
      </c>
      <c r="AK76" s="119">
        <f>+AK73+AK70+AK67</f>
        <v>219</v>
      </c>
      <c r="AL76" s="121" t="s">
        <v>127</v>
      </c>
      <c r="AM76" s="122" t="s">
        <v>127</v>
      </c>
      <c r="AN76" s="222">
        <f>+AN73+AN70+AN67</f>
        <v>473.2</v>
      </c>
      <c r="AO76" s="343" t="s">
        <v>127</v>
      </c>
      <c r="AP76" s="119">
        <v>229.6</v>
      </c>
      <c r="AQ76" s="121" t="s">
        <v>127</v>
      </c>
      <c r="AR76" s="122" t="s">
        <v>127</v>
      </c>
      <c r="AS76" s="220">
        <f>+AS73+AS70+AS67</f>
        <v>517.5</v>
      </c>
      <c r="AT76" s="343" t="s">
        <v>127</v>
      </c>
      <c r="AU76" s="119">
        <v>291.10000000000002</v>
      </c>
      <c r="AV76" s="121" t="s">
        <v>127</v>
      </c>
      <c r="AW76" s="122" t="s">
        <v>127</v>
      </c>
      <c r="AX76" s="220">
        <f>+AX73+AX70+AX67</f>
        <v>621</v>
      </c>
      <c r="AY76" s="343" t="s">
        <v>127</v>
      </c>
      <c r="AZ76" s="119">
        <v>310.5</v>
      </c>
      <c r="BA76" s="121" t="s">
        <v>127</v>
      </c>
      <c r="BB76" s="122" t="s">
        <v>127</v>
      </c>
      <c r="BC76" s="220">
        <v>680.7</v>
      </c>
      <c r="BD76" s="343" t="s">
        <v>127</v>
      </c>
      <c r="BE76" s="119">
        <v>325.10000000000002</v>
      </c>
      <c r="BF76" s="121" t="s">
        <v>127</v>
      </c>
      <c r="BG76" s="122" t="s">
        <v>127</v>
      </c>
      <c r="BH76" s="220">
        <v>758.7</v>
      </c>
      <c r="BI76" s="343" t="s">
        <v>127</v>
      </c>
      <c r="BJ76" s="119">
        <v>208.8</v>
      </c>
      <c r="BK76" s="121"/>
      <c r="BL76" s="122" t="s">
        <v>127</v>
      </c>
      <c r="BM76" s="220">
        <v>672.3</v>
      </c>
      <c r="BN76" s="428" t="s">
        <v>127</v>
      </c>
      <c r="BO76" s="437">
        <v>350.3</v>
      </c>
      <c r="BP76" s="121"/>
      <c r="BQ76" s="122"/>
      <c r="BR76" s="220">
        <v>830.99999999999989</v>
      </c>
      <c r="BS76" s="428" t="s">
        <v>127</v>
      </c>
      <c r="BT76" s="429">
        <v>462.49999999999989</v>
      </c>
      <c r="BU76" s="122"/>
      <c r="BV76" s="220"/>
      <c r="BW76" s="220">
        <v>929.69999999999982</v>
      </c>
      <c r="BX76" s="428" t="s">
        <v>127</v>
      </c>
      <c r="BY76" s="429">
        <v>560.70000000000005</v>
      </c>
      <c r="BZ76" s="122"/>
      <c r="CA76" s="220"/>
      <c r="CB76" s="220">
        <v>1083.8</v>
      </c>
      <c r="CC76" s="428" t="s">
        <v>127</v>
      </c>
      <c r="CD76" s="429">
        <v>564.1</v>
      </c>
      <c r="CE76" s="122"/>
      <c r="CF76" s="220"/>
      <c r="CG76" s="220"/>
    </row>
    <row r="77" spans="1:85">
      <c r="A77" s="330" t="s">
        <v>141</v>
      </c>
      <c r="B77" s="44"/>
      <c r="C77" s="336">
        <v>0.38349514563106785</v>
      </c>
      <c r="D77" s="123">
        <v>-1.5247303830420104E-2</v>
      </c>
      <c r="E77" s="123">
        <v>7.3083778966131913E-2</v>
      </c>
      <c r="F77" s="124">
        <v>5.8043117744610281E-2</v>
      </c>
      <c r="G77" s="337">
        <v>5.4847134736518477E-2</v>
      </c>
      <c r="H77" s="336">
        <f>+H76/C76-1</f>
        <v>-0.51403508771929829</v>
      </c>
      <c r="I77" s="123">
        <f>+I76/D76-1</f>
        <v>-0.1654078549848943</v>
      </c>
      <c r="J77" s="123">
        <f>+J76/E76-1</f>
        <v>-0.27043189368770759</v>
      </c>
      <c r="K77" s="124">
        <f>+K76/F76-1</f>
        <v>0.14420062695924774</v>
      </c>
      <c r="L77" s="124">
        <f>L76/G76-1</f>
        <v>-0.21162248762015723</v>
      </c>
      <c r="M77" s="337">
        <f>M76/G76-1</f>
        <v>-0.23856685115059706</v>
      </c>
      <c r="N77" s="336">
        <f>+N76/H76-1</f>
        <v>-1.0577617328519857</v>
      </c>
      <c r="O77" s="123">
        <f>+O76/I76-1</f>
        <v>-0.1253393665158371</v>
      </c>
      <c r="P77" s="123">
        <f>+P76/J76-1</f>
        <v>4.5537340619306033E-3</v>
      </c>
      <c r="Q77" s="124">
        <f>+Q76/K76-1</f>
        <v>-0.27534246575342491</v>
      </c>
      <c r="R77" s="337">
        <f>+R76/L76-1</f>
        <v>-0.14058747459818954</v>
      </c>
      <c r="S77" s="336" t="s">
        <v>61</v>
      </c>
      <c r="T77" s="123" t="s">
        <v>61</v>
      </c>
      <c r="U77" s="123" t="s">
        <v>61</v>
      </c>
      <c r="V77" s="124" t="e">
        <f>V76/AM76-1</f>
        <v>#VALUE!</v>
      </c>
      <c r="W77" s="337">
        <f>W76/M76-1</f>
        <v>-0.13332643267023703</v>
      </c>
      <c r="X77" s="336">
        <f>IF(OR(((X76-S76)/S76)&gt;=100%,((X76-S76)/S76)&lt;=-100%),"&gt;100%",((X76-S76)/ABS(S76)))</f>
        <v>9.4504805606213008E-2</v>
      </c>
      <c r="Y77" s="123">
        <f>IF(OR(((Y76-T76)/T76)&gt;=100%,((Y76-T76)/T76)&lt;=-100%),"&gt;100%",((Y76-T76)/ABS(T76)))</f>
        <v>-4.5539946666013284E-2</v>
      </c>
      <c r="Z77" s="123"/>
      <c r="AA77" s="123">
        <f t="shared" ref="AA77:AI77" si="56">IF(OR(((AA76-U76)/U76)&gt;=100%,((AA76-U76)/U76)&lt;=-100%),"&gt;100%",((AA76-U76)/ABS(U76)))</f>
        <v>-1.6279062674176708E-2</v>
      </c>
      <c r="AB77" s="124">
        <f t="shared" si="56"/>
        <v>0.22864679767183557</v>
      </c>
      <c r="AC77" s="337">
        <f t="shared" si="56"/>
        <v>1.7922489571606415E-3</v>
      </c>
      <c r="AD77" s="336" t="str">
        <f t="shared" si="56"/>
        <v>&gt;100%</v>
      </c>
      <c r="AE77" s="123">
        <f t="shared" si="56"/>
        <v>8.0915178571428575E-2</v>
      </c>
      <c r="AF77" s="123">
        <f t="shared" si="56"/>
        <v>-6.3517001458871014E-2</v>
      </c>
      <c r="AG77" s="123">
        <f t="shared" si="56"/>
        <v>-3.1340405014464799E-2</v>
      </c>
      <c r="AH77" s="124">
        <f t="shared" si="56"/>
        <v>-0.16702049410894398</v>
      </c>
      <c r="AI77" s="337">
        <f t="shared" si="56"/>
        <v>-6.4349909989641699E-2</v>
      </c>
      <c r="AJ77" s="344" t="s">
        <v>127</v>
      </c>
      <c r="AK77" s="123">
        <f>IF(OR(((AK76-AF76)/AF76)&gt;=100%,((AK76-AF76)/AF76)&lt;=-100%),"&gt;100%",((AK76-AF76)/ABS(AF76)))</f>
        <v>0.31216297183942476</v>
      </c>
      <c r="AL77" s="125" t="s">
        <v>127</v>
      </c>
      <c r="AM77" s="126" t="s">
        <v>127</v>
      </c>
      <c r="AN77" s="337">
        <f>IF(OR(((AN76-AI76)/AI76)&gt;=100%,((AN76-AI76)/AI76)&lt;=-100%),"&gt;100%",((AN76-AI76)/ABS(AI76)))</f>
        <v>0.11419825759359548</v>
      </c>
      <c r="AO77" s="344" t="s">
        <v>127</v>
      </c>
      <c r="AP77" s="123">
        <f>IF(OR(((AP76-AK76)/AK76)&gt;=100%,((AP76-AK76)/AK76)&lt;=-100%),"&gt;100%",((AP76-AK76)/ABS(AK76)))</f>
        <v>4.8401826484018237E-2</v>
      </c>
      <c r="AQ77" s="125" t="s">
        <v>127</v>
      </c>
      <c r="AR77" s="126" t="s">
        <v>127</v>
      </c>
      <c r="AS77" s="348">
        <f>IF(OR(((AS76-AN76)/AN76)&gt;=100%,((AS76-AN76)/AN76)&lt;=-100%),"&gt;100%",((AS76-AN76)/ABS(AN76)))</f>
        <v>9.361792054099749E-2</v>
      </c>
      <c r="AT77" s="344" t="s">
        <v>127</v>
      </c>
      <c r="AU77" s="123">
        <f>IF(OR(((AU76-AP76)/AP76)&gt;=100%,((AU76-AP76)/AP76)&lt;=-100%),"&gt;100%",((AU76-AP76)/ABS(AP76)))</f>
        <v>0.26785714285714296</v>
      </c>
      <c r="AV77" s="125" t="s">
        <v>127</v>
      </c>
      <c r="AW77" s="126" t="s">
        <v>127</v>
      </c>
      <c r="AX77" s="337">
        <f>IF(OR(((AX76-AS76)/AS76)&gt;=100%,((AX76-AS76)/AS76)&lt;=-100%),"&gt;100%",((AX76-AS76)/ABS(AS76)))</f>
        <v>0.2</v>
      </c>
      <c r="AY77" s="344" t="s">
        <v>127</v>
      </c>
      <c r="AZ77" s="123">
        <f>IF(OR(((AZ76-AU76)/AU76)&gt;=100%,((AZ76-AU76)/AU76)&lt;=-100%),"&gt;100%",((AZ76-AU76)/ABS(AU76)))</f>
        <v>6.6643765029199498E-2</v>
      </c>
      <c r="BA77" s="125" t="s">
        <v>127</v>
      </c>
      <c r="BB77" s="126" t="s">
        <v>127</v>
      </c>
      <c r="BC77" s="348">
        <f>BC76/AX76-1</f>
        <v>9.6135265700483252E-2</v>
      </c>
      <c r="BD77" s="344" t="s">
        <v>127</v>
      </c>
      <c r="BE77" s="123">
        <f>IF(OR(((BE76-AZ76)/AZ76)&gt;=100%,((BE76-AZ76)/AZ76)&lt;=-100%),"&gt;100%",((BE76-AZ76)/ABS(AZ76)))</f>
        <v>4.7020933977455791E-2</v>
      </c>
      <c r="BF77" s="125" t="s">
        <v>127</v>
      </c>
      <c r="BG77" s="126" t="s">
        <v>127</v>
      </c>
      <c r="BH77" s="348">
        <f>BH76/BC76-1</f>
        <v>0.11458792419568087</v>
      </c>
      <c r="BI77" s="344" t="s">
        <v>127</v>
      </c>
      <c r="BJ77" s="123">
        <v>-0.35773608120578282</v>
      </c>
      <c r="BK77" s="125"/>
      <c r="BL77" s="126" t="s">
        <v>127</v>
      </c>
      <c r="BM77" s="348">
        <f>BM76/BH76-1</f>
        <v>-0.11387900355871894</v>
      </c>
      <c r="BN77" s="430" t="s">
        <v>127</v>
      </c>
      <c r="BO77" s="438">
        <v>0.67800000000000005</v>
      </c>
      <c r="BP77" s="125"/>
      <c r="BQ77" s="126"/>
      <c r="BR77" s="348">
        <f>BR76/BM76-1</f>
        <v>0.23605533244087451</v>
      </c>
      <c r="BS77" s="430" t="s">
        <v>127</v>
      </c>
      <c r="BT77" s="431">
        <f>BT76/BO76-1</f>
        <v>0.32029688838138703</v>
      </c>
      <c r="BU77" s="126"/>
      <c r="BV77" s="348"/>
      <c r="BW77" s="348">
        <f>BW76/BR76-1</f>
        <v>0.11877256317689522</v>
      </c>
      <c r="BX77" s="430" t="s">
        <v>127</v>
      </c>
      <c r="BY77" s="431">
        <v>0.21199999999999999</v>
      </c>
      <c r="BZ77" s="126"/>
      <c r="CA77" s="348"/>
      <c r="CB77" s="348">
        <v>0.16600000000000001</v>
      </c>
      <c r="CC77" s="430" t="s">
        <v>127</v>
      </c>
      <c r="CD77" s="431">
        <v>6.0000000000000001E-3</v>
      </c>
      <c r="CE77" s="126"/>
      <c r="CF77" s="348"/>
      <c r="CG77" s="348"/>
    </row>
    <row r="78" spans="1:85" ht="14.5" thickBot="1">
      <c r="A78" s="331" t="s">
        <v>103</v>
      </c>
      <c r="B78" s="42"/>
      <c r="C78" s="338">
        <v>4.1394335511982572E-2</v>
      </c>
      <c r="D78" s="127">
        <v>0.13769434766782801</v>
      </c>
      <c r="E78" s="127">
        <v>0.15060542379665767</v>
      </c>
      <c r="F78" s="128">
        <v>4.2678440029433405E-2</v>
      </c>
      <c r="G78" s="339">
        <v>0.10106570890249644</v>
      </c>
      <c r="H78" s="338">
        <f t="shared" ref="H78:Y78" si="57">+H76/H23</f>
        <v>1.9560765482663653E-2</v>
      </c>
      <c r="I78" s="127">
        <f t="shared" si="57"/>
        <v>0.11163871489189736</v>
      </c>
      <c r="J78" s="127">
        <f t="shared" si="57"/>
        <v>0.11379417556223442</v>
      </c>
      <c r="K78" s="128">
        <f t="shared" si="57"/>
        <v>4.774986917844061E-2</v>
      </c>
      <c r="L78" s="128">
        <f t="shared" si="57"/>
        <v>7.8972323942634537E-2</v>
      </c>
      <c r="M78" s="339">
        <f t="shared" si="57"/>
        <v>7.6608589892003573E-2</v>
      </c>
      <c r="N78" s="338">
        <f t="shared" si="57"/>
        <v>-1.1138183083884451E-3</v>
      </c>
      <c r="O78" s="127">
        <f t="shared" si="57"/>
        <v>9.6863098817398283E-2</v>
      </c>
      <c r="P78" s="127">
        <f t="shared" si="57"/>
        <v>0.10833374257231251</v>
      </c>
      <c r="Q78" s="128">
        <f t="shared" si="57"/>
        <v>3.2859183800236037E-2</v>
      </c>
      <c r="R78" s="339">
        <f t="shared" si="57"/>
        <v>6.5721995394374358E-2</v>
      </c>
      <c r="S78" s="338">
        <f t="shared" si="57"/>
        <v>-7.5504446072275754E-4</v>
      </c>
      <c r="T78" s="127">
        <f t="shared" si="57"/>
        <v>9.4551105882056716E-2</v>
      </c>
      <c r="U78" s="127">
        <f t="shared" si="57"/>
        <v>0.10433103215558198</v>
      </c>
      <c r="V78" s="128">
        <f t="shared" si="57"/>
        <v>3.4644155658025921E-2</v>
      </c>
      <c r="W78" s="339">
        <f t="shared" si="57"/>
        <v>6.4317421749684175E-2</v>
      </c>
      <c r="X78" s="338">
        <f t="shared" si="57"/>
        <v>-6.8440533556812647E-4</v>
      </c>
      <c r="Y78" s="127">
        <f t="shared" si="57"/>
        <v>9.1935152883234145E-2</v>
      </c>
      <c r="Z78" s="127"/>
      <c r="AA78" s="127">
        <f t="shared" ref="AA78:AI78" si="58">+AA76/AA23</f>
        <v>0.10811656153886254</v>
      </c>
      <c r="AB78" s="128">
        <f t="shared" si="58"/>
        <v>4.3381813489140095E-2</v>
      </c>
      <c r="AC78" s="339">
        <f t="shared" si="58"/>
        <v>6.603273254582484E-2</v>
      </c>
      <c r="AD78" s="338">
        <f t="shared" si="58"/>
        <v>-2.0125936623844942E-2</v>
      </c>
      <c r="AE78" s="127">
        <f t="shared" si="58"/>
        <v>0.10458963282937364</v>
      </c>
      <c r="AF78" s="127">
        <f t="shared" si="58"/>
        <v>5.2433162640193515E-2</v>
      </c>
      <c r="AG78" s="127">
        <f t="shared" si="58"/>
        <v>0.11056078366628144</v>
      </c>
      <c r="AH78" s="128">
        <f t="shared" si="58"/>
        <v>3.7682119205298015E-2</v>
      </c>
      <c r="AI78" s="339">
        <f t="shared" si="58"/>
        <v>6.5236091057110382E-2</v>
      </c>
      <c r="AJ78" s="345" t="s">
        <v>127</v>
      </c>
      <c r="AK78" s="127">
        <f>+AK76/AK23</f>
        <v>6.950395125202323E-2</v>
      </c>
      <c r="AL78" s="129" t="s">
        <v>127</v>
      </c>
      <c r="AM78" s="130" t="s">
        <v>127</v>
      </c>
      <c r="AN78" s="339">
        <f>+AN76/AN23</f>
        <v>7.4565143826555422E-2</v>
      </c>
      <c r="AO78" s="345" t="s">
        <v>127</v>
      </c>
      <c r="AP78" s="127">
        <f>+AP76/AP23</f>
        <v>7.5429547619829826E-2</v>
      </c>
      <c r="AQ78" s="129" t="s">
        <v>127</v>
      </c>
      <c r="AR78" s="130" t="s">
        <v>127</v>
      </c>
      <c r="AS78" s="349">
        <f>+AS76/AS23</f>
        <v>8.3212653939823009E-2</v>
      </c>
      <c r="AT78" s="345" t="s">
        <v>127</v>
      </c>
      <c r="AU78" s="127">
        <v>9.0999999999999998E-2</v>
      </c>
      <c r="AV78" s="129" t="s">
        <v>127</v>
      </c>
      <c r="AW78" s="130" t="s">
        <v>127</v>
      </c>
      <c r="AX78" s="339">
        <f>+AX76/AX23</f>
        <v>9.5216191352345908E-2</v>
      </c>
      <c r="AY78" s="345" t="s">
        <v>127</v>
      </c>
      <c r="AZ78" s="127">
        <v>9.6000000000000002E-2</v>
      </c>
      <c r="BA78" s="129" t="s">
        <v>127</v>
      </c>
      <c r="BB78" s="130" t="s">
        <v>127</v>
      </c>
      <c r="BC78" s="349">
        <v>0.10199999999999999</v>
      </c>
      <c r="BD78" s="345" t="s">
        <v>127</v>
      </c>
      <c r="BE78" s="127">
        <v>9.7000000000000003E-2</v>
      </c>
      <c r="BF78" s="129" t="s">
        <v>127</v>
      </c>
      <c r="BG78" s="130" t="s">
        <v>127</v>
      </c>
      <c r="BH78" s="349">
        <v>0.108</v>
      </c>
      <c r="BI78" s="345" t="s">
        <v>127</v>
      </c>
      <c r="BJ78" s="127">
        <v>7.3999999999999996E-2</v>
      </c>
      <c r="BK78" s="129"/>
      <c r="BL78" s="130" t="s">
        <v>127</v>
      </c>
      <c r="BM78" s="349">
        <v>0.11</v>
      </c>
      <c r="BN78" s="432" t="s">
        <v>127</v>
      </c>
      <c r="BO78" s="439">
        <v>0.108</v>
      </c>
      <c r="BP78" s="129"/>
      <c r="BQ78" s="130"/>
      <c r="BR78" s="349">
        <v>0.11600000000000001</v>
      </c>
      <c r="BS78" s="432" t="s">
        <v>127</v>
      </c>
      <c r="BT78" s="433">
        <v>0.11</v>
      </c>
      <c r="BU78" s="130"/>
      <c r="BV78" s="349"/>
      <c r="BW78" s="349">
        <v>0.10100000000000001</v>
      </c>
      <c r="BX78" s="432" t="s">
        <v>127</v>
      </c>
      <c r="BY78" s="433">
        <v>0.112</v>
      </c>
      <c r="BZ78" s="130"/>
      <c r="CA78" s="349"/>
      <c r="CB78" s="349">
        <v>0.106</v>
      </c>
      <c r="CC78" s="432" t="s">
        <v>127</v>
      </c>
      <c r="CD78" s="433">
        <v>0.109</v>
      </c>
      <c r="CE78" s="130"/>
      <c r="CF78" s="349"/>
      <c r="CG78" s="349"/>
    </row>
    <row r="79" spans="1:85">
      <c r="CC79" s="94"/>
      <c r="CD79" s="94"/>
    </row>
    <row r="80" spans="1:85">
      <c r="CC80" s="94"/>
      <c r="CD80" s="94"/>
    </row>
    <row r="81" spans="1:82">
      <c r="A81" s="526" t="s">
        <v>62</v>
      </c>
      <c r="B81" s="526"/>
      <c r="C81" s="526"/>
      <c r="D81" s="526"/>
      <c r="E81" s="526"/>
      <c r="F81" s="526"/>
      <c r="CC81" s="94"/>
      <c r="CD81" s="94"/>
    </row>
    <row r="82" spans="1:82" ht="44.9" customHeight="1">
      <c r="A82" s="497" t="s">
        <v>210</v>
      </c>
      <c r="B82" s="390"/>
      <c r="C82" s="390"/>
      <c r="D82" s="390"/>
      <c r="E82" s="390"/>
      <c r="F82" s="390"/>
      <c r="G82" s="390"/>
      <c r="H82" s="390"/>
      <c r="I82" s="390"/>
      <c r="J82" s="390"/>
      <c r="K82" s="390"/>
      <c r="L82" s="390"/>
      <c r="M82" s="390"/>
      <c r="N82" s="390"/>
      <c r="O82" s="390"/>
      <c r="P82" s="390"/>
      <c r="Q82" s="390"/>
      <c r="R82" s="390"/>
      <c r="S82" s="390"/>
      <c r="T82" s="390"/>
      <c r="U82" s="390"/>
      <c r="V82" s="390"/>
      <c r="W82" s="390"/>
      <c r="X82" s="390"/>
      <c r="Y82" s="390"/>
      <c r="Z82" s="390"/>
      <c r="AA82" s="390"/>
      <c r="AB82" s="390"/>
      <c r="AC82" s="390"/>
      <c r="AD82" s="390"/>
      <c r="AE82" s="390"/>
      <c r="AF82" s="390"/>
      <c r="AG82" s="390"/>
      <c r="AH82" s="390"/>
      <c r="AI82" s="390"/>
      <c r="AJ82" s="390"/>
      <c r="AK82" s="390"/>
      <c r="AL82" s="390"/>
      <c r="AM82" s="390"/>
      <c r="AN82" s="390"/>
      <c r="AO82" s="390"/>
      <c r="AP82" s="390"/>
      <c r="AQ82" s="390"/>
      <c r="AR82" s="390"/>
      <c r="CC82" s="94"/>
      <c r="CD82" s="94"/>
    </row>
    <row r="83" spans="1:82">
      <c r="A83" s="390"/>
      <c r="B83" s="390"/>
      <c r="C83" s="390"/>
      <c r="D83" s="390"/>
      <c r="E83" s="390"/>
      <c r="F83" s="390"/>
      <c r="G83" s="390"/>
      <c r="H83" s="390"/>
      <c r="I83" s="390"/>
      <c r="J83" s="390"/>
      <c r="K83" s="390"/>
      <c r="L83" s="390"/>
      <c r="M83" s="390"/>
      <c r="N83" s="390"/>
      <c r="O83" s="390"/>
      <c r="P83" s="390"/>
      <c r="Q83" s="390"/>
      <c r="R83" s="390"/>
      <c r="S83" s="390"/>
      <c r="T83" s="390"/>
      <c r="U83" s="390"/>
      <c r="V83" s="390"/>
      <c r="W83" s="390"/>
      <c r="X83" s="390"/>
      <c r="Y83" s="390"/>
      <c r="Z83" s="390"/>
      <c r="AA83" s="390"/>
      <c r="AB83" s="390"/>
      <c r="AC83" s="390"/>
      <c r="AD83" s="390"/>
      <c r="AE83" s="390"/>
      <c r="AF83" s="390"/>
      <c r="AG83" s="390"/>
      <c r="AH83" s="390"/>
      <c r="AI83" s="390"/>
      <c r="AJ83" s="390"/>
      <c r="AK83" s="390"/>
      <c r="AL83" s="390"/>
      <c r="AM83" s="390"/>
      <c r="AN83" s="390"/>
      <c r="AO83" s="390"/>
      <c r="AP83" s="390"/>
      <c r="AQ83" s="390"/>
      <c r="CC83" s="94"/>
      <c r="CD83" s="94"/>
    </row>
    <row r="84" spans="1:82" ht="14.15" customHeight="1">
      <c r="A84" s="523" t="s">
        <v>121</v>
      </c>
      <c r="B84" s="523"/>
      <c r="C84" s="523"/>
      <c r="D84" s="523"/>
      <c r="E84" s="523"/>
      <c r="F84" s="523"/>
      <c r="G84" s="523"/>
      <c r="H84" s="523"/>
      <c r="I84" s="523"/>
      <c r="J84" s="523"/>
      <c r="K84" s="523"/>
      <c r="L84" s="523"/>
      <c r="M84" s="523"/>
      <c r="N84" s="523"/>
      <c r="O84" s="523"/>
      <c r="P84" s="523"/>
      <c r="Q84" s="523"/>
      <c r="R84" s="523"/>
      <c r="S84" s="523"/>
      <c r="T84" s="523"/>
      <c r="U84" s="523"/>
      <c r="V84" s="523"/>
      <c r="W84" s="523"/>
      <c r="X84" s="523"/>
      <c r="Y84" s="523"/>
      <c r="Z84" s="523"/>
      <c r="AA84" s="523"/>
      <c r="AB84" s="523"/>
      <c r="AC84" s="523"/>
      <c r="AD84" s="523"/>
      <c r="AE84" s="523"/>
      <c r="AF84" s="523"/>
      <c r="AG84" s="523"/>
      <c r="AH84" s="523"/>
      <c r="AI84" s="523"/>
      <c r="AJ84" s="523"/>
      <c r="AK84" s="523"/>
      <c r="AL84" s="523"/>
      <c r="AM84" s="523"/>
      <c r="AN84" s="523"/>
      <c r="AO84" s="523"/>
      <c r="AP84" s="523"/>
      <c r="AQ84" s="523"/>
      <c r="CC84" s="94"/>
      <c r="CD84" s="94"/>
    </row>
    <row r="85" spans="1:82">
      <c r="A85" s="523"/>
      <c r="B85" s="523"/>
      <c r="C85" s="523"/>
      <c r="D85" s="523"/>
      <c r="E85" s="523"/>
      <c r="F85" s="523"/>
      <c r="G85" s="523"/>
      <c r="H85" s="523"/>
      <c r="I85" s="523"/>
      <c r="J85" s="523"/>
      <c r="K85" s="523"/>
      <c r="L85" s="523"/>
      <c r="M85" s="523"/>
      <c r="N85" s="523"/>
      <c r="O85" s="523"/>
      <c r="P85" s="523"/>
      <c r="Q85" s="523"/>
      <c r="R85" s="523"/>
      <c r="S85" s="523"/>
      <c r="T85" s="523"/>
      <c r="U85" s="523"/>
      <c r="V85" s="523"/>
      <c r="W85" s="523"/>
      <c r="X85" s="523"/>
      <c r="Y85" s="523"/>
      <c r="Z85" s="523"/>
      <c r="AA85" s="523"/>
      <c r="AB85" s="523"/>
      <c r="AC85" s="523"/>
      <c r="AD85" s="523"/>
      <c r="AE85" s="523"/>
      <c r="AF85" s="523"/>
      <c r="AG85" s="523"/>
      <c r="AH85" s="523"/>
      <c r="AI85" s="523"/>
      <c r="AJ85" s="523"/>
      <c r="AK85" s="523"/>
      <c r="AL85" s="523"/>
      <c r="AM85" s="523"/>
      <c r="AN85" s="523"/>
      <c r="AO85" s="523"/>
      <c r="AP85" s="523"/>
      <c r="AQ85" s="523"/>
      <c r="CC85" s="94"/>
      <c r="CD85" s="94"/>
    </row>
    <row r="86" spans="1:82">
      <c r="A86" s="523"/>
      <c r="B86" s="523"/>
      <c r="C86" s="523"/>
      <c r="D86" s="523"/>
      <c r="E86" s="523"/>
      <c r="F86" s="523"/>
      <c r="G86" s="523"/>
      <c r="H86" s="523"/>
      <c r="I86" s="523"/>
      <c r="J86" s="523"/>
      <c r="K86" s="523"/>
      <c r="L86" s="523"/>
      <c r="M86" s="523"/>
      <c r="N86" s="523"/>
      <c r="O86" s="523"/>
      <c r="P86" s="523"/>
      <c r="Q86" s="523"/>
      <c r="R86" s="523"/>
      <c r="S86" s="523"/>
      <c r="T86" s="523"/>
      <c r="U86" s="523"/>
      <c r="V86" s="523"/>
      <c r="W86" s="523"/>
      <c r="X86" s="523"/>
      <c r="Y86" s="523"/>
      <c r="Z86" s="523"/>
      <c r="AA86" s="523"/>
      <c r="AB86" s="523"/>
      <c r="AC86" s="523"/>
      <c r="AD86" s="523"/>
      <c r="AE86" s="523"/>
      <c r="AF86" s="523"/>
      <c r="AG86" s="523"/>
      <c r="AH86" s="523"/>
      <c r="AI86" s="523"/>
      <c r="AJ86" s="523"/>
      <c r="AK86" s="523"/>
      <c r="AL86" s="523"/>
      <c r="AM86" s="523"/>
      <c r="AN86" s="523"/>
      <c r="AO86" s="523"/>
      <c r="AP86" s="523"/>
      <c r="AQ86" s="523"/>
      <c r="CC86" s="94"/>
      <c r="CD86" s="94"/>
    </row>
    <row r="87" spans="1:82" ht="39.65" customHeight="1">
      <c r="A87" s="523" t="s">
        <v>130</v>
      </c>
      <c r="B87" s="523"/>
      <c r="C87" s="523"/>
      <c r="D87" s="523"/>
      <c r="E87" s="523"/>
      <c r="F87" s="523"/>
      <c r="G87" s="523"/>
      <c r="H87" s="523"/>
      <c r="I87" s="523"/>
      <c r="J87" s="523"/>
      <c r="K87" s="523"/>
      <c r="L87" s="523"/>
      <c r="M87" s="523"/>
      <c r="N87" s="523"/>
      <c r="O87" s="523"/>
      <c r="P87" s="523"/>
      <c r="Q87" s="523"/>
      <c r="R87" s="523"/>
      <c r="S87" s="523"/>
      <c r="T87" s="523"/>
      <c r="U87" s="523"/>
      <c r="V87" s="523"/>
      <c r="W87" s="523"/>
      <c r="X87" s="523"/>
      <c r="Y87" s="523"/>
      <c r="Z87" s="523"/>
      <c r="AA87" s="523"/>
      <c r="AB87" s="523"/>
      <c r="AC87" s="523"/>
      <c r="AD87" s="523"/>
      <c r="AE87" s="523"/>
      <c r="AF87" s="523"/>
      <c r="AG87" s="523"/>
      <c r="AH87" s="523"/>
      <c r="AI87" s="523"/>
      <c r="AJ87" s="523"/>
      <c r="AK87" s="523"/>
      <c r="AL87" s="523"/>
      <c r="AM87" s="523"/>
      <c r="AN87" s="523"/>
      <c r="AO87" s="523"/>
      <c r="AP87" s="523"/>
      <c r="AQ87" s="523"/>
      <c r="CC87" s="94"/>
      <c r="CD87" s="94"/>
    </row>
    <row r="88" spans="1:82" ht="14.15" customHeight="1">
      <c r="A88" s="524" t="s">
        <v>99</v>
      </c>
      <c r="B88" s="524"/>
      <c r="C88" s="524"/>
      <c r="D88" s="524"/>
      <c r="E88" s="524"/>
      <c r="F88" s="524"/>
      <c r="G88" s="524"/>
      <c r="H88" s="524"/>
      <c r="I88" s="524"/>
      <c r="J88" s="524"/>
      <c r="K88" s="524"/>
      <c r="L88" s="524"/>
      <c r="M88" s="524"/>
      <c r="N88" s="524"/>
      <c r="O88" s="524"/>
      <c r="P88" s="524"/>
      <c r="Q88" s="524"/>
      <c r="R88" s="524"/>
      <c r="S88" s="524"/>
      <c r="T88" s="524"/>
      <c r="U88" s="524"/>
      <c r="V88" s="524"/>
      <c r="W88" s="524"/>
      <c r="X88" s="524"/>
      <c r="Y88" s="524"/>
      <c r="Z88" s="524"/>
      <c r="AA88" s="524"/>
      <c r="AB88" s="524"/>
      <c r="AC88" s="524"/>
      <c r="AD88" s="524"/>
      <c r="AE88" s="524"/>
      <c r="AF88" s="524"/>
      <c r="AG88" s="524"/>
      <c r="AH88" s="524"/>
      <c r="AI88" s="524"/>
      <c r="AJ88" s="524"/>
      <c r="AK88" s="524"/>
      <c r="AL88" s="524"/>
      <c r="AM88" s="524"/>
      <c r="AN88" s="524"/>
      <c r="AO88" s="524"/>
      <c r="AP88" s="524"/>
      <c r="AQ88" s="524"/>
      <c r="AR88" s="89"/>
      <c r="AS88" s="89"/>
      <c r="CC88" s="94"/>
      <c r="CD88" s="94"/>
    </row>
    <row r="89" spans="1:82">
      <c r="A89" s="524"/>
      <c r="B89" s="524"/>
      <c r="C89" s="524"/>
      <c r="D89" s="524"/>
      <c r="E89" s="524"/>
      <c r="F89" s="524"/>
      <c r="G89" s="524"/>
      <c r="H89" s="524"/>
      <c r="I89" s="524"/>
      <c r="J89" s="524"/>
      <c r="K89" s="524"/>
      <c r="L89" s="524"/>
      <c r="M89" s="524"/>
      <c r="N89" s="524"/>
      <c r="O89" s="524"/>
      <c r="P89" s="524"/>
      <c r="Q89" s="524"/>
      <c r="R89" s="524"/>
      <c r="S89" s="524"/>
      <c r="T89" s="524"/>
      <c r="U89" s="524"/>
      <c r="V89" s="524"/>
      <c r="W89" s="524"/>
      <c r="X89" s="524"/>
      <c r="Y89" s="524"/>
      <c r="Z89" s="524"/>
      <c r="AA89" s="524"/>
      <c r="AB89" s="524"/>
      <c r="AC89" s="524"/>
      <c r="AD89" s="524"/>
      <c r="AE89" s="524"/>
      <c r="AF89" s="524"/>
      <c r="AG89" s="524"/>
      <c r="AH89" s="524"/>
      <c r="AI89" s="524"/>
      <c r="AJ89" s="524"/>
      <c r="AK89" s="524"/>
      <c r="AL89" s="524"/>
      <c r="AM89" s="524"/>
      <c r="AN89" s="524"/>
      <c r="AO89" s="524"/>
      <c r="AP89" s="524"/>
      <c r="AQ89" s="524"/>
      <c r="AR89" s="89"/>
      <c r="AS89" s="89"/>
      <c r="CC89" s="94"/>
      <c r="CD89" s="94"/>
    </row>
    <row r="90" spans="1:82" ht="15" customHeight="1">
      <c r="A90" s="525" t="s">
        <v>131</v>
      </c>
      <c r="B90" s="525"/>
      <c r="C90" s="525"/>
      <c r="D90" s="525"/>
      <c r="E90" s="525"/>
      <c r="F90" s="525"/>
      <c r="G90" s="525"/>
      <c r="H90" s="525"/>
      <c r="I90" s="525"/>
      <c r="J90" s="525"/>
      <c r="K90" s="525"/>
      <c r="L90" s="525"/>
      <c r="M90" s="525"/>
      <c r="N90" s="525"/>
      <c r="O90" s="525"/>
      <c r="P90" s="525"/>
      <c r="Q90" s="525"/>
      <c r="R90" s="525"/>
      <c r="S90" s="525"/>
      <c r="T90" s="525"/>
      <c r="U90" s="525"/>
      <c r="V90" s="525"/>
      <c r="W90" s="525"/>
      <c r="X90" s="525"/>
      <c r="Y90" s="525"/>
      <c r="Z90" s="525"/>
      <c r="AA90" s="525"/>
      <c r="AB90" s="525"/>
      <c r="AC90" s="525"/>
      <c r="AD90" s="525"/>
      <c r="AE90" s="525"/>
      <c r="AF90" s="525"/>
      <c r="AG90" s="525"/>
      <c r="AH90" s="525"/>
      <c r="AI90" s="525"/>
      <c r="AJ90" s="525"/>
      <c r="AK90" s="525"/>
      <c r="AL90" s="525"/>
      <c r="AM90" s="525"/>
      <c r="AN90" s="525"/>
      <c r="AO90" s="525"/>
      <c r="AP90" s="525"/>
      <c r="AQ90" s="525"/>
      <c r="CC90" s="94"/>
      <c r="CD90" s="94"/>
    </row>
    <row r="91" spans="1:82">
      <c r="A91" s="525"/>
      <c r="B91" s="525"/>
      <c r="C91" s="525"/>
      <c r="D91" s="525"/>
      <c r="E91" s="525"/>
      <c r="F91" s="525"/>
      <c r="G91" s="525"/>
      <c r="H91" s="525"/>
      <c r="I91" s="525"/>
      <c r="J91" s="525"/>
      <c r="K91" s="525"/>
      <c r="L91" s="525"/>
      <c r="M91" s="525"/>
      <c r="N91" s="525"/>
      <c r="O91" s="525"/>
      <c r="P91" s="525"/>
      <c r="Q91" s="525"/>
      <c r="R91" s="525"/>
      <c r="S91" s="525"/>
      <c r="T91" s="525"/>
      <c r="U91" s="525"/>
      <c r="V91" s="525"/>
      <c r="W91" s="525"/>
      <c r="X91" s="525"/>
      <c r="Y91" s="525"/>
      <c r="Z91" s="525"/>
      <c r="AA91" s="525"/>
      <c r="AB91" s="525"/>
      <c r="AC91" s="525"/>
      <c r="AD91" s="525"/>
      <c r="AE91" s="525"/>
      <c r="AF91" s="525"/>
      <c r="AG91" s="525"/>
      <c r="AH91" s="525"/>
      <c r="AI91" s="525"/>
      <c r="AJ91" s="525"/>
      <c r="AK91" s="525"/>
      <c r="AL91" s="525"/>
      <c r="AM91" s="525"/>
      <c r="AN91" s="525"/>
      <c r="AO91" s="525"/>
      <c r="AP91" s="525"/>
      <c r="AQ91" s="525"/>
    </row>
  </sheetData>
  <mergeCells count="11">
    <mergeCell ref="A4:A5"/>
    <mergeCell ref="A26:A27"/>
    <mergeCell ref="A37:A38"/>
    <mergeCell ref="A65:A66"/>
    <mergeCell ref="A49:A50"/>
    <mergeCell ref="A15:A16"/>
    <mergeCell ref="A87:AQ87"/>
    <mergeCell ref="A88:AQ89"/>
    <mergeCell ref="A90:AQ91"/>
    <mergeCell ref="A81:F81"/>
    <mergeCell ref="A84:AQ86"/>
  </mergeCells>
  <pageMargins left="0.27559055118110237" right="0.15748031496062992" top="0.19685039370078741" bottom="2.2834645669291338" header="0.19685039370078741" footer="0.15748031496062992"/>
  <pageSetup paperSize="9" scale="48" fitToHeight="2" orientation="landscape" r:id="rId1"/>
  <headerFooter>
    <oddFooter>&amp;R&amp;A</oddFooter>
  </headerFooter>
  <rowBreaks count="1" manualBreakCount="1">
    <brk id="48" max="61" man="1"/>
  </rowBreaks>
  <customProperties>
    <customPr name="EpmWorksheetKeyString_GUID" r:id="rId2"/>
    <customPr name="FPMExcelClientCellBasedFunctionStatus" r:id="rId3"/>
  </customProperties>
  <ignoredErrors>
    <ignoredError sqref="BB9:BC11 AR8:AV11 AM8:AO11 AF7:AH14 AM12:AO14 AR12:AV13 AY12:AZ13 BB12:BC12 AI14:AL14 AI12:AL12 BD12:BH12 AI13:AL13 BA13:BH13 BA12 AW12:AX12 AW13:AX13 AP14:BI14 AP12:AQ12 AP13:AQ13 G14:AC14 G7:P13 S7:AC13" formula="1"/>
    <ignoredError sqref="BI7 BI9 BI11" numberStoredAsText="1"/>
    <ignoredError sqref="BI13" numberStoredAsText="1" formula="1"/>
    <ignoredError sqref="Q7:R13" formula="1" formulaRange="1"/>
    <ignoredError sqref="Q6:R6" formulaRange="1"/>
  </ignoredError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AR66"/>
  <sheetViews>
    <sheetView showGridLines="0" tabSelected="1" zoomScale="70" zoomScaleNormal="70" workbookViewId="0">
      <selection activeCell="T16" sqref="T16"/>
    </sheetView>
  </sheetViews>
  <sheetFormatPr defaultColWidth="9.453125" defaultRowHeight="12.5" outlineLevelCol="2"/>
  <cols>
    <col min="1" max="1" width="35.453125" style="2" bestFit="1" customWidth="1"/>
    <col min="2" max="2" width="9.453125" style="1" customWidth="1" outlineLevel="1"/>
    <col min="3" max="3" width="10.453125" style="1" customWidth="1" outlineLevel="1"/>
    <col min="4" max="4" width="9.453125" style="1" customWidth="1" outlineLevel="1"/>
    <col min="5" max="5" width="10.453125" style="1" customWidth="1" outlineLevel="1"/>
    <col min="6" max="6" width="9.453125" style="1" customWidth="1" outlineLevel="1"/>
    <col min="7" max="12" width="9.453125" style="2" customWidth="1" outlineLevel="1"/>
    <col min="13" max="13" width="9.453125" style="2" customWidth="1" outlineLevel="2" collapsed="1"/>
    <col min="14" max="16" width="9.453125" style="2"/>
    <col min="17" max="18" width="11.90625" style="2" customWidth="1"/>
    <col min="19" max="16384" width="9.453125" style="2"/>
  </cols>
  <sheetData>
    <row r="1" spans="1:20">
      <c r="G1" s="1"/>
      <c r="H1" s="1"/>
      <c r="I1" s="1"/>
      <c r="J1" s="1"/>
      <c r="K1" s="1"/>
      <c r="L1" s="1"/>
      <c r="M1" s="1"/>
      <c r="N1" s="1"/>
      <c r="O1" s="1"/>
      <c r="P1" s="1"/>
    </row>
    <row r="2" spans="1:20" ht="19">
      <c r="A2" s="47" t="s">
        <v>143</v>
      </c>
      <c r="B2" s="46"/>
      <c r="C2" s="46"/>
      <c r="D2" s="46"/>
      <c r="E2" s="46"/>
      <c r="F2" s="46"/>
      <c r="G2" s="46"/>
      <c r="H2" s="46"/>
      <c r="I2" s="46"/>
      <c r="J2" s="46"/>
      <c r="K2" s="46"/>
      <c r="L2" s="46"/>
      <c r="M2" s="46"/>
      <c r="N2" s="46"/>
      <c r="O2" s="46"/>
      <c r="P2" s="46"/>
    </row>
    <row r="3" spans="1:20" ht="19.5" customHeight="1" thickBot="1">
      <c r="G3" s="1"/>
      <c r="H3" s="1"/>
    </row>
    <row r="4" spans="1:20" s="53" customFormat="1" ht="14">
      <c r="A4" s="392"/>
      <c r="B4" s="49"/>
      <c r="C4" s="49"/>
      <c r="D4" s="49"/>
      <c r="E4" s="50" t="s">
        <v>26</v>
      </c>
      <c r="F4" s="51"/>
      <c r="G4" s="49"/>
      <c r="H4" s="49"/>
      <c r="I4" s="49"/>
      <c r="J4" s="49"/>
      <c r="K4" s="49"/>
      <c r="L4" s="49"/>
      <c r="M4" s="49"/>
      <c r="N4" s="49"/>
      <c r="O4" s="49"/>
      <c r="P4" s="49"/>
      <c r="Q4" s="52"/>
      <c r="R4" s="52"/>
    </row>
    <row r="5" spans="1:20" s="54" customFormat="1" ht="15.5">
      <c r="A5" s="393" t="s">
        <v>146</v>
      </c>
      <c r="B5" s="103">
        <v>2008</v>
      </c>
      <c r="C5" s="103">
        <v>2009</v>
      </c>
      <c r="D5" s="103">
        <v>2010</v>
      </c>
      <c r="E5" s="104" t="s">
        <v>66</v>
      </c>
      <c r="F5" s="105" t="s">
        <v>67</v>
      </c>
      <c r="G5" s="103">
        <v>2013</v>
      </c>
      <c r="H5" s="103">
        <v>2014</v>
      </c>
      <c r="I5" s="103">
        <v>2015</v>
      </c>
      <c r="J5" s="103">
        <v>2016</v>
      </c>
      <c r="K5" s="103">
        <v>2017</v>
      </c>
      <c r="L5" s="103">
        <v>2018</v>
      </c>
      <c r="M5" s="103">
        <v>2019</v>
      </c>
      <c r="N5" s="103">
        <v>2020</v>
      </c>
      <c r="O5" s="103">
        <v>2021</v>
      </c>
      <c r="P5" s="103">
        <v>2022</v>
      </c>
      <c r="Q5" s="105">
        <v>2023</v>
      </c>
      <c r="R5" s="105">
        <v>2024</v>
      </c>
      <c r="S5" s="53"/>
      <c r="T5" s="53"/>
    </row>
    <row r="6" spans="1:20" ht="14">
      <c r="A6" s="394" t="s">
        <v>42</v>
      </c>
      <c r="B6" s="3">
        <f>+'Annual Volume figures'!B22</f>
        <v>692.1</v>
      </c>
      <c r="C6" s="3">
        <f>+'Annual Volume figures'!C22</f>
        <v>743.2</v>
      </c>
      <c r="D6" s="3">
        <f>'Quarterly Segmental Analysis'!G6</f>
        <v>718.2</v>
      </c>
      <c r="E6" s="21">
        <f>'Quarterly Segmental Analysis'!M6</f>
        <v>713.5</v>
      </c>
      <c r="F6" s="22">
        <f>'Quarterly Segmental Analysis'!W6</f>
        <v>679.4</v>
      </c>
      <c r="G6" s="3">
        <f>'Quarterly Segmental Analysis'!AC6</f>
        <v>650.6</v>
      </c>
      <c r="H6" s="3">
        <f>'Quarterly Segmental Analysis'!AI6</f>
        <v>615.20000000000005</v>
      </c>
      <c r="I6" s="3">
        <f>'Quarterly Segmental Analysis'!AN6</f>
        <v>621.10293639200006</v>
      </c>
      <c r="J6" s="3">
        <f>'Quarterly Segmental Analysis'!AS6</f>
        <v>606.60702792500001</v>
      </c>
      <c r="K6" s="3">
        <f>'Quarterly Segmental Analysis'!AX6</f>
        <v>613.29999999999995</v>
      </c>
      <c r="L6" s="3">
        <v>619.5</v>
      </c>
      <c r="M6" s="3">
        <v>624.5</v>
      </c>
      <c r="N6" s="3">
        <v>536.9</v>
      </c>
      <c r="O6" s="3">
        <v>589.9</v>
      </c>
      <c r="P6" s="3">
        <f>VLOOKUP(A6,'Quarterly Segmental Analysis'!$A$6:$BW$13,75,FALSE)</f>
        <v>643.9</v>
      </c>
      <c r="Q6" s="22">
        <v>628.70000000000005</v>
      </c>
      <c r="R6" s="22"/>
      <c r="S6" s="53"/>
      <c r="T6" s="53"/>
    </row>
    <row r="7" spans="1:20" ht="14">
      <c r="A7" s="396" t="s">
        <v>141</v>
      </c>
      <c r="B7" s="8">
        <v>1.9890000000000001E-2</v>
      </c>
      <c r="C7" s="8">
        <f t="shared" ref="C7:K7" si="0">+C6/B6-1</f>
        <v>7.3833261089437885E-2</v>
      </c>
      <c r="D7" s="8">
        <f t="shared" si="0"/>
        <v>-3.3638320775026931E-2</v>
      </c>
      <c r="E7" s="27">
        <f t="shared" si="0"/>
        <v>-6.5441381230855189E-3</v>
      </c>
      <c r="F7" s="28">
        <f t="shared" si="0"/>
        <v>-4.7792571829011976E-2</v>
      </c>
      <c r="G7" s="8">
        <f t="shared" si="0"/>
        <v>-4.239034442154832E-2</v>
      </c>
      <c r="H7" s="8">
        <f t="shared" si="0"/>
        <v>-5.4411312634491171E-2</v>
      </c>
      <c r="I7" s="8">
        <f t="shared" si="0"/>
        <v>9.5951501820545904E-3</v>
      </c>
      <c r="J7" s="8">
        <f t="shared" si="0"/>
        <v>-2.333897912511429E-2</v>
      </c>
      <c r="K7" s="8">
        <f t="shared" si="0"/>
        <v>1.1033456202929948E-2</v>
      </c>
      <c r="L7" s="8">
        <f>+L6/K6-1</f>
        <v>1.010924506766675E-2</v>
      </c>
      <c r="M7" s="8">
        <f>+M6/L6-1</f>
        <v>8.0710250201776468E-3</v>
      </c>
      <c r="N7" s="8">
        <f>+N6/M6-1</f>
        <v>-0.14027221777421939</v>
      </c>
      <c r="O7" s="8">
        <v>9.8714844477556296E-2</v>
      </c>
      <c r="P7" s="8">
        <f>+P6/O6-1</f>
        <v>9.1540939142227495E-2</v>
      </c>
      <c r="Q7" s="28">
        <f>+Q6/P6-1</f>
        <v>-2.3606150023295469E-2</v>
      </c>
      <c r="R7" s="28"/>
      <c r="S7" s="53"/>
      <c r="T7" s="53"/>
    </row>
    <row r="8" spans="1:20" ht="14">
      <c r="A8" s="394" t="s">
        <v>7</v>
      </c>
      <c r="B8" s="3">
        <f>+'Annual Volume figures'!B40</f>
        <v>406.6</v>
      </c>
      <c r="C8" s="3">
        <f>+'Annual Volume figures'!C40</f>
        <v>388.3</v>
      </c>
      <c r="D8" s="3">
        <f>'Quarterly Segmental Analysis'!G8</f>
        <v>391.69999999999993</v>
      </c>
      <c r="E8" s="21">
        <f>'Quarterly Segmental Analysis'!M8</f>
        <v>399.7</v>
      </c>
      <c r="F8" s="22">
        <f>'Quarterly Segmental Analysis'!W8</f>
        <v>393.5</v>
      </c>
      <c r="G8" s="3">
        <f>'Quarterly Segmental Analysis'!AC8</f>
        <v>381</v>
      </c>
      <c r="H8" s="3">
        <f>'Quarterly Segmental Analysis'!AI8</f>
        <v>358.3</v>
      </c>
      <c r="I8" s="3">
        <f>'Quarterly Segmental Analysis'!AN8</f>
        <v>378.7</v>
      </c>
      <c r="J8" s="3">
        <f>'Quarterly Segmental Analysis'!AS8</f>
        <v>383.5</v>
      </c>
      <c r="K8" s="3">
        <f>'Quarterly Segmental Analysis'!AX8</f>
        <v>394.2</v>
      </c>
      <c r="L8" s="3">
        <v>429</v>
      </c>
      <c r="M8" s="3">
        <v>431.1</v>
      </c>
      <c r="N8" s="3">
        <v>412.1</v>
      </c>
      <c r="O8" s="3">
        <v>415.5</v>
      </c>
      <c r="P8" s="3">
        <f>VLOOKUP(A8,'Quarterly Segmental Analysis'!$A$6:$BW$13,75,FALSE)</f>
        <v>478.80000000000007</v>
      </c>
      <c r="Q8" s="22">
        <v>471</v>
      </c>
      <c r="R8" s="22"/>
      <c r="S8" s="53"/>
      <c r="T8" s="53"/>
    </row>
    <row r="9" spans="1:20" ht="14">
      <c r="A9" s="396" t="s">
        <v>141</v>
      </c>
      <c r="B9" s="8">
        <v>6.4670000000000005E-2</v>
      </c>
      <c r="C9" s="8">
        <f t="shared" ref="C9:K9" si="1">+C8/B8-1</f>
        <v>-4.5007378258730912E-2</v>
      </c>
      <c r="D9" s="8">
        <f t="shared" si="1"/>
        <v>8.7561164048413076E-3</v>
      </c>
      <c r="E9" s="27">
        <f t="shared" si="1"/>
        <v>2.0423793719683614E-2</v>
      </c>
      <c r="F9" s="28">
        <f t="shared" si="1"/>
        <v>-1.5511633725293961E-2</v>
      </c>
      <c r="G9" s="8">
        <f t="shared" si="1"/>
        <v>-3.1766200762388785E-2</v>
      </c>
      <c r="H9" s="8">
        <f t="shared" si="1"/>
        <v>-5.958005249343834E-2</v>
      </c>
      <c r="I9" s="8">
        <f t="shared" si="1"/>
        <v>5.693552888640796E-2</v>
      </c>
      <c r="J9" s="8">
        <f t="shared" si="1"/>
        <v>1.2674940586216099E-2</v>
      </c>
      <c r="K9" s="8">
        <f t="shared" si="1"/>
        <v>2.790091264667538E-2</v>
      </c>
      <c r="L9" s="8">
        <f>+L8/K8-1</f>
        <v>8.8280060882800715E-2</v>
      </c>
      <c r="M9" s="8">
        <f>+M8/L8-1</f>
        <v>4.8951048951049181E-3</v>
      </c>
      <c r="N9" s="8">
        <f>+N8/M8-1</f>
        <v>-4.4073300858269548E-2</v>
      </c>
      <c r="O9" s="8">
        <v>8.250424654210109E-3</v>
      </c>
      <c r="P9" s="8">
        <f>+P8/O8-1</f>
        <v>0.15234657039711208</v>
      </c>
      <c r="Q9" s="28">
        <f>+Q8/P8-1</f>
        <v>-1.62907268170428E-2</v>
      </c>
      <c r="R9" s="28"/>
      <c r="S9" s="53"/>
      <c r="T9" s="53"/>
    </row>
    <row r="10" spans="1:20" ht="14">
      <c r="A10" s="394" t="s">
        <v>15</v>
      </c>
      <c r="B10" s="3">
        <f>+'Annual Volume figures'!B68</f>
        <v>1016.8</v>
      </c>
      <c r="C10" s="3">
        <f>+'Annual Volume figures'!C68</f>
        <v>937.8</v>
      </c>
      <c r="D10" s="3">
        <f>'Quarterly Segmental Analysis'!G10</f>
        <v>990.09999999999991</v>
      </c>
      <c r="E10" s="21">
        <f>'Quarterly Segmental Analysis'!M10</f>
        <v>974.2</v>
      </c>
      <c r="F10" s="22">
        <f>'Quarterly Segmental Analysis'!W10</f>
        <v>1011.8</v>
      </c>
      <c r="G10" s="3">
        <f>'Quarterly Segmental Analysis'!AC10</f>
        <v>1028.9000000000001</v>
      </c>
      <c r="H10" s="3">
        <f>'Quarterly Segmental Analysis'!AI10</f>
        <v>1029.4000000000001</v>
      </c>
      <c r="I10" s="3">
        <f>'Quarterly Segmental Analysis'!AN10</f>
        <v>1055.2108842570001</v>
      </c>
      <c r="J10" s="3">
        <f>'Quarterly Segmental Analysis'!AS10</f>
        <v>1067.812523391</v>
      </c>
      <c r="K10" s="3">
        <f>'Quarterly Segmental Analysis'!AX10</f>
        <v>1096.5999999999999</v>
      </c>
      <c r="L10" s="3">
        <v>1143.8</v>
      </c>
      <c r="M10" s="3">
        <v>1208.9000000000001</v>
      </c>
      <c r="N10" s="3">
        <v>1186.5999999999999</v>
      </c>
      <c r="O10" s="3">
        <v>1407.3</v>
      </c>
      <c r="P10" s="3">
        <f>VLOOKUP(A10,'Quarterly Segmental Analysis'!$A$6:$BW$13,75,FALSE)</f>
        <v>1589.1</v>
      </c>
      <c r="Q10" s="22">
        <v>1735.8</v>
      </c>
      <c r="R10" s="22"/>
      <c r="S10" s="53"/>
      <c r="T10" s="53"/>
    </row>
    <row r="11" spans="1:20" ht="14">
      <c r="A11" s="396" t="s">
        <v>141</v>
      </c>
      <c r="B11" s="8">
        <v>6.1045000000000002E-2</v>
      </c>
      <c r="C11" s="8">
        <f t="shared" ref="C11:K11" si="2">+C10/B10-1</f>
        <v>-7.7694728560188886E-2</v>
      </c>
      <c r="D11" s="8">
        <f t="shared" si="2"/>
        <v>5.5768820644060524E-2</v>
      </c>
      <c r="E11" s="27">
        <f t="shared" si="2"/>
        <v>-1.6058983941015903E-2</v>
      </c>
      <c r="F11" s="28">
        <f t="shared" si="2"/>
        <v>3.85957708889344E-2</v>
      </c>
      <c r="G11" s="8">
        <f t="shared" si="2"/>
        <v>1.6900573235817395E-2</v>
      </c>
      <c r="H11" s="8">
        <f t="shared" si="2"/>
        <v>4.8595587520661176E-4</v>
      </c>
      <c r="I11" s="8">
        <f t="shared" si="2"/>
        <v>2.5073716977851213E-2</v>
      </c>
      <c r="J11" s="8">
        <f t="shared" si="2"/>
        <v>1.1942294494880157E-2</v>
      </c>
      <c r="K11" s="8">
        <f t="shared" si="2"/>
        <v>2.6959298545760513E-2</v>
      </c>
      <c r="L11" s="8">
        <f>+L10/K10-1</f>
        <v>4.3042130220682262E-2</v>
      </c>
      <c r="M11" s="8">
        <f>+M10/L10-1</f>
        <v>5.6915544675642638E-2</v>
      </c>
      <c r="N11" s="8">
        <f>+N10/M10-1</f>
        <v>-1.8446521631235169E-2</v>
      </c>
      <c r="O11" s="8">
        <v>0.18599359514579472</v>
      </c>
      <c r="P11" s="8">
        <f>+P10/O10-1</f>
        <v>0.12918354295459378</v>
      </c>
      <c r="Q11" s="28">
        <f>+Q10/P10-1</f>
        <v>9.2316405512554267E-2</v>
      </c>
      <c r="R11" s="28"/>
      <c r="S11" s="53"/>
      <c r="T11" s="53"/>
    </row>
    <row r="12" spans="1:20" ht="14">
      <c r="A12" s="314" t="s">
        <v>140</v>
      </c>
      <c r="B12" s="41">
        <f t="shared" ref="B12:G12" si="3">+B10+B8+B6</f>
        <v>2115.5</v>
      </c>
      <c r="C12" s="41">
        <f t="shared" si="3"/>
        <v>2069.3000000000002</v>
      </c>
      <c r="D12" s="41">
        <f t="shared" si="3"/>
        <v>2100</v>
      </c>
      <c r="E12" s="29">
        <f t="shared" si="3"/>
        <v>2087.4</v>
      </c>
      <c r="F12" s="30">
        <f t="shared" si="3"/>
        <v>2084.6999999999998</v>
      </c>
      <c r="G12" s="41">
        <f t="shared" si="3"/>
        <v>2060.5</v>
      </c>
      <c r="H12" s="41">
        <f t="shared" ref="H12:M12" si="4">+H10+H8+H6</f>
        <v>2002.9</v>
      </c>
      <c r="I12" s="41">
        <f t="shared" si="4"/>
        <v>2055.0138206490001</v>
      </c>
      <c r="J12" s="41">
        <f t="shared" si="4"/>
        <v>2057.9195513160003</v>
      </c>
      <c r="K12" s="41">
        <f t="shared" si="4"/>
        <v>2104.1</v>
      </c>
      <c r="L12" s="41">
        <f t="shared" si="4"/>
        <v>2192.3000000000002</v>
      </c>
      <c r="M12" s="41">
        <f t="shared" si="4"/>
        <v>2264.5</v>
      </c>
      <c r="N12" s="41">
        <f t="shared" ref="N12" si="5">+N10+N8+N6</f>
        <v>2135.6</v>
      </c>
      <c r="O12" s="41">
        <v>2412.6999999999998</v>
      </c>
      <c r="P12" s="41">
        <f>VLOOKUP(A12,'Quarterly Segmental Analysis'!$A$6:$BW$13,75,FALSE)</f>
        <v>2711.8</v>
      </c>
      <c r="Q12" s="30">
        <v>2835.5</v>
      </c>
      <c r="R12" s="30"/>
      <c r="S12" s="53"/>
      <c r="T12" s="53"/>
    </row>
    <row r="13" spans="1:20" ht="14.5" thickBot="1">
      <c r="A13" s="297" t="s">
        <v>141</v>
      </c>
      <c r="B13" s="42">
        <v>4.7898999999999997E-2</v>
      </c>
      <c r="C13" s="42">
        <f t="shared" ref="C13:K13" si="6">+C12/B12-1</f>
        <v>-2.1838808792247644E-2</v>
      </c>
      <c r="D13" s="42">
        <f t="shared" si="6"/>
        <v>1.483593485719803E-2</v>
      </c>
      <c r="E13" s="31">
        <f t="shared" si="6"/>
        <v>-6.0000000000000053E-3</v>
      </c>
      <c r="F13" s="32">
        <f t="shared" si="6"/>
        <v>-1.2934751365336616E-3</v>
      </c>
      <c r="G13" s="42">
        <f t="shared" si="6"/>
        <v>-1.1608384899505886E-2</v>
      </c>
      <c r="H13" s="42">
        <f t="shared" si="6"/>
        <v>-2.7954380004853174E-2</v>
      </c>
      <c r="I13" s="42">
        <f t="shared" si="6"/>
        <v>2.6019182509860794E-2</v>
      </c>
      <c r="J13" s="42">
        <f t="shared" si="6"/>
        <v>1.4139713503642515E-3</v>
      </c>
      <c r="K13" s="42">
        <f t="shared" si="6"/>
        <v>2.2440356647794202E-2</v>
      </c>
      <c r="L13" s="42">
        <f>+L12/K12-1</f>
        <v>4.1918159783280284E-2</v>
      </c>
      <c r="M13" s="42">
        <f>+M12/L12-1</f>
        <v>3.2933448889294281E-2</v>
      </c>
      <c r="N13" s="42">
        <f>+N12/M12-1</f>
        <v>-5.6922057849414953E-2</v>
      </c>
      <c r="O13" s="42">
        <v>0.1297527626896422</v>
      </c>
      <c r="P13" s="42">
        <f>+P12/O12-1</f>
        <v>0.12396899738881761</v>
      </c>
      <c r="Q13" s="32">
        <f>+Q12/P12-1</f>
        <v>4.5615458367136208E-2</v>
      </c>
      <c r="R13" s="32"/>
      <c r="S13" s="53"/>
      <c r="T13" s="53"/>
    </row>
    <row r="14" spans="1:20" ht="14.5" thickBot="1">
      <c r="G14" s="1"/>
      <c r="H14" s="4"/>
      <c r="I14" s="4"/>
      <c r="J14" s="4"/>
      <c r="K14" s="4"/>
      <c r="L14" s="4"/>
      <c r="M14" s="4"/>
      <c r="N14" s="4"/>
      <c r="O14" s="4"/>
      <c r="P14" s="4"/>
      <c r="Q14" s="4"/>
      <c r="R14" s="4"/>
      <c r="S14" s="53"/>
      <c r="T14" s="53"/>
    </row>
    <row r="15" spans="1:20" s="53" customFormat="1" ht="14">
      <c r="A15" s="392"/>
      <c r="B15" s="49"/>
      <c r="C15" s="49"/>
      <c r="D15" s="49"/>
      <c r="E15" s="50" t="s">
        <v>26</v>
      </c>
      <c r="F15" s="51"/>
      <c r="G15" s="49"/>
      <c r="H15" s="49"/>
      <c r="I15" s="49"/>
      <c r="J15" s="49"/>
      <c r="K15" s="49"/>
      <c r="L15" s="49"/>
      <c r="M15" s="49"/>
      <c r="N15" s="49"/>
      <c r="O15" s="49"/>
      <c r="P15" s="49"/>
      <c r="Q15" s="52"/>
      <c r="R15" s="52"/>
    </row>
    <row r="16" spans="1:20" s="54" customFormat="1" ht="15.5">
      <c r="A16" s="393" t="s">
        <v>147</v>
      </c>
      <c r="B16" s="103">
        <f t="shared" ref="B16:G16" si="7">B$5</f>
        <v>2008</v>
      </c>
      <c r="C16" s="103">
        <f t="shared" si="7"/>
        <v>2009</v>
      </c>
      <c r="D16" s="103">
        <f t="shared" si="7"/>
        <v>2010</v>
      </c>
      <c r="E16" s="104" t="str">
        <f t="shared" si="7"/>
        <v>2011*</v>
      </c>
      <c r="F16" s="105" t="str">
        <f t="shared" si="7"/>
        <v>2012*</v>
      </c>
      <c r="G16" s="103">
        <f t="shared" si="7"/>
        <v>2013</v>
      </c>
      <c r="H16" s="103">
        <f t="shared" ref="H16:M16" si="8">H5</f>
        <v>2014</v>
      </c>
      <c r="I16" s="103">
        <f t="shared" si="8"/>
        <v>2015</v>
      </c>
      <c r="J16" s="103">
        <f t="shared" si="8"/>
        <v>2016</v>
      </c>
      <c r="K16" s="103">
        <f t="shared" si="8"/>
        <v>2017</v>
      </c>
      <c r="L16" s="103">
        <f t="shared" si="8"/>
        <v>2018</v>
      </c>
      <c r="M16" s="103">
        <f t="shared" si="8"/>
        <v>2019</v>
      </c>
      <c r="N16" s="103">
        <f t="shared" ref="N16:O16" si="9">N5</f>
        <v>2020</v>
      </c>
      <c r="O16" s="103">
        <f t="shared" si="9"/>
        <v>2021</v>
      </c>
      <c r="P16" s="103">
        <f t="shared" ref="P16:Q16" si="10">P5</f>
        <v>2022</v>
      </c>
      <c r="Q16" s="105">
        <f t="shared" si="10"/>
        <v>2023</v>
      </c>
      <c r="R16" s="105">
        <f t="shared" ref="R16" si="11">R5</f>
        <v>2024</v>
      </c>
      <c r="S16" s="53"/>
      <c r="T16" s="53"/>
    </row>
    <row r="17" spans="1:20" ht="14">
      <c r="A17" s="394" t="s">
        <v>42</v>
      </c>
      <c r="B17" s="3">
        <v>2704</v>
      </c>
      <c r="C17" s="3">
        <v>2927.8</v>
      </c>
      <c r="D17" s="3">
        <f>'Quarterly Segmental Analysis'!G17</f>
        <v>2834.6000000000004</v>
      </c>
      <c r="E17" s="21">
        <f>'Quarterly Segmental Analysis'!M17</f>
        <v>2834.8</v>
      </c>
      <c r="F17" s="22">
        <f>'Quarterly Segmental Analysis'!W17</f>
        <v>2701.7999999999997</v>
      </c>
      <c r="G17" s="3">
        <f>'Quarterly Segmental Analysis'!AC17</f>
        <v>2539.6</v>
      </c>
      <c r="H17" s="3">
        <f>'Quarterly Segmental Analysis'!AI17</f>
        <v>2448.9</v>
      </c>
      <c r="I17" s="3">
        <f>'Quarterly Segmental Analysis'!AN17</f>
        <v>2485.6474926900005</v>
      </c>
      <c r="J17" s="3">
        <f>'Quarterly Segmental Analysis'!AS17</f>
        <v>2407.7695663300001</v>
      </c>
      <c r="K17" s="3">
        <f>'Quarterly Segmental Analysis'!AX17</f>
        <v>2436.3000000000002</v>
      </c>
      <c r="L17" s="3">
        <v>2470.1</v>
      </c>
      <c r="M17" s="3">
        <v>2517.6</v>
      </c>
      <c r="N17" s="3">
        <v>2174.6</v>
      </c>
      <c r="O17" s="3">
        <v>2479</v>
      </c>
      <c r="P17" s="3">
        <f>VLOOKUP(A17,'Quarterly Segmental Analysis'!$A$17:$BW$24,75,FALSE)</f>
        <v>2974.1</v>
      </c>
      <c r="Q17" s="22">
        <v>3358.5</v>
      </c>
      <c r="R17" s="22"/>
      <c r="S17" s="53"/>
      <c r="T17" s="53"/>
    </row>
    <row r="18" spans="1:20" ht="14">
      <c r="A18" s="396" t="s">
        <v>141</v>
      </c>
      <c r="B18" s="8">
        <v>2.634175965991048E-2</v>
      </c>
      <c r="C18" s="8">
        <f t="shared" ref="C18:K18" si="12">+C17/B17-1</f>
        <v>8.2766272189349177E-2</v>
      </c>
      <c r="D18" s="8">
        <f t="shared" si="12"/>
        <v>-3.1832775462804719E-2</v>
      </c>
      <c r="E18" s="27">
        <f t="shared" si="12"/>
        <v>7.0556692302270463E-5</v>
      </c>
      <c r="F18" s="28">
        <f t="shared" si="12"/>
        <v>-4.6916890080429097E-2</v>
      </c>
      <c r="G18" s="8">
        <f t="shared" si="12"/>
        <v>-6.0034051373158537E-2</v>
      </c>
      <c r="H18" s="8">
        <f t="shared" si="12"/>
        <v>-3.5714285714285698E-2</v>
      </c>
      <c r="I18" s="8">
        <f t="shared" si="12"/>
        <v>1.5005713867450865E-2</v>
      </c>
      <c r="J18" s="8">
        <f t="shared" si="12"/>
        <v>-3.1331042148587174E-2</v>
      </c>
      <c r="K18" s="8">
        <f t="shared" si="12"/>
        <v>1.1849320661315277E-2</v>
      </c>
      <c r="L18" s="8">
        <f>+L17/K17-1</f>
        <v>1.3873496695809173E-2</v>
      </c>
      <c r="M18" s="8">
        <f>+M17/L17-1</f>
        <v>1.9229990688636178E-2</v>
      </c>
      <c r="N18" s="8">
        <f>+N17/M17-1</f>
        <v>-0.13624086431522087</v>
      </c>
      <c r="O18" s="8">
        <v>0.13997976639381959</v>
      </c>
      <c r="P18" s="8">
        <f>+P17/O17-1</f>
        <v>0.19971762807583704</v>
      </c>
      <c r="Q18" s="28">
        <f>+Q17/P17-1</f>
        <v>0.1292491846272823</v>
      </c>
      <c r="R18" s="28"/>
      <c r="S18" s="53"/>
      <c r="T18" s="53"/>
    </row>
    <row r="19" spans="1:20" ht="14">
      <c r="A19" s="394" t="s">
        <v>7</v>
      </c>
      <c r="B19" s="3">
        <v>1348.4</v>
      </c>
      <c r="C19" s="3">
        <v>1149.0999999999999</v>
      </c>
      <c r="D19" s="3">
        <f>'Quarterly Segmental Analysis'!G19</f>
        <v>1140</v>
      </c>
      <c r="E19" s="21">
        <f>'Quarterly Segmental Analysis'!M19</f>
        <v>1161.5</v>
      </c>
      <c r="F19" s="22">
        <f>'Quarterly Segmental Analysis'!W19</f>
        <v>1148.0999999999999</v>
      </c>
      <c r="G19" s="3">
        <f>'Quarterly Segmental Analysis'!AC19</f>
        <v>1105.5999999999999</v>
      </c>
      <c r="H19" s="3">
        <f>'Quarterly Segmental Analysis'!AI19</f>
        <v>1054.0999999999999</v>
      </c>
      <c r="I19" s="3">
        <f>'Quarterly Segmental Analysis'!AN19</f>
        <v>1092</v>
      </c>
      <c r="J19" s="3">
        <f>'Quarterly Segmental Analysis'!AS19</f>
        <v>1094.2</v>
      </c>
      <c r="K19" s="3">
        <f>'Quarterly Segmental Analysis'!AX19</f>
        <v>1173.4000000000001</v>
      </c>
      <c r="L19" s="3">
        <v>1306.9000000000001</v>
      </c>
      <c r="M19" s="3">
        <v>1352.1</v>
      </c>
      <c r="N19" s="3">
        <v>1170.9000000000001</v>
      </c>
      <c r="O19" s="3">
        <v>1365.6</v>
      </c>
      <c r="P19" s="3">
        <f>VLOOKUP(A19,'Quarterly Segmental Analysis'!$A$17:$BW$24,75,FALSE)</f>
        <v>1719.7</v>
      </c>
      <c r="Q19" s="22">
        <v>2088.6</v>
      </c>
      <c r="R19" s="22"/>
      <c r="S19" s="53"/>
      <c r="T19" s="53"/>
    </row>
    <row r="20" spans="1:20" ht="14">
      <c r="A20" s="396" t="s">
        <v>141</v>
      </c>
      <c r="B20" s="8">
        <v>0.1369308600337269</v>
      </c>
      <c r="C20" s="8">
        <f>+C19/B19-1</f>
        <v>-0.14780480569563936</v>
      </c>
      <c r="D20" s="8">
        <f>'Quarterly Segmental Analysis'!G20</f>
        <v>-7.9192411452440048E-3</v>
      </c>
      <c r="E20" s="27">
        <f t="shared" ref="E20:K20" si="13">+E19/D19-1</f>
        <v>1.8859649122807021E-2</v>
      </c>
      <c r="F20" s="28">
        <f t="shared" si="13"/>
        <v>-1.1536805854498566E-2</v>
      </c>
      <c r="G20" s="8">
        <f t="shared" si="13"/>
        <v>-3.7017681386638746E-2</v>
      </c>
      <c r="H20" s="8">
        <f t="shared" si="13"/>
        <v>-4.658104196816204E-2</v>
      </c>
      <c r="I20" s="8">
        <f t="shared" si="13"/>
        <v>3.5954842994023517E-2</v>
      </c>
      <c r="J20" s="8">
        <f t="shared" si="13"/>
        <v>2.0146520146520075E-3</v>
      </c>
      <c r="K20" s="8">
        <f t="shared" si="13"/>
        <v>7.2381648693109257E-2</v>
      </c>
      <c r="L20" s="8">
        <f>+L19/K19-1</f>
        <v>0.11377194477586494</v>
      </c>
      <c r="M20" s="8">
        <f>+M19/L19-1</f>
        <v>3.4585660723850165E-2</v>
      </c>
      <c r="N20" s="8">
        <f>+N19/M19-1</f>
        <v>-0.13401375637896595</v>
      </c>
      <c r="O20" s="8">
        <v>0.16628234691263111</v>
      </c>
      <c r="P20" s="8">
        <f>+P19/O19-1</f>
        <v>0.25929994141769197</v>
      </c>
      <c r="Q20" s="28">
        <f>+Q19/P19-1</f>
        <v>0.21451415944641505</v>
      </c>
      <c r="R20" s="28"/>
      <c r="S20" s="53"/>
      <c r="T20" s="53"/>
    </row>
    <row r="21" spans="1:20" ht="14">
      <c r="A21" s="394" t="s">
        <v>15</v>
      </c>
      <c r="B21" s="3">
        <v>2928.3</v>
      </c>
      <c r="C21" s="3">
        <v>2466.6999999999998</v>
      </c>
      <c r="D21" s="3">
        <f>'Quarterly Segmental Analysis'!G21</f>
        <v>2819</v>
      </c>
      <c r="E21" s="21">
        <f>'Quarterly Segmental Analysis'!M21</f>
        <v>2828</v>
      </c>
      <c r="F21" s="22">
        <f>'Quarterly Segmental Analysis'!W21</f>
        <v>3194.8</v>
      </c>
      <c r="G21" s="3">
        <f>'Quarterly Segmental Analysis'!AC21</f>
        <v>3228.8</v>
      </c>
      <c r="H21" s="3">
        <f>'Quarterly Segmental Analysis'!AI21</f>
        <v>3007.2</v>
      </c>
      <c r="I21" s="3">
        <f>'Quarterly Segmental Analysis'!AN21</f>
        <v>2768.4812172699994</v>
      </c>
      <c r="J21" s="3">
        <f>'Quarterly Segmental Analysis'!AS21</f>
        <v>2717.0365042400003</v>
      </c>
      <c r="K21" s="3">
        <f>'Quarterly Segmental Analysis'!AX21</f>
        <v>2912.3</v>
      </c>
      <c r="L21" s="3">
        <v>2880.1</v>
      </c>
      <c r="M21" s="3">
        <v>3156.3</v>
      </c>
      <c r="N21" s="3">
        <v>2786.3</v>
      </c>
      <c r="O21" s="3">
        <v>3323.8</v>
      </c>
      <c r="P21" s="3">
        <f>VLOOKUP(A21,'Quarterly Segmental Analysis'!$A$17:$BW$24,75,FALSE)</f>
        <v>4504.6000000000004</v>
      </c>
      <c r="Q21" s="22">
        <v>4736.8999999999996</v>
      </c>
      <c r="R21" s="22"/>
      <c r="S21" s="53"/>
      <c r="T21" s="53"/>
    </row>
    <row r="22" spans="1:20" ht="14">
      <c r="A22" s="396" t="s">
        <v>141</v>
      </c>
      <c r="B22" s="8">
        <v>0.10865861507590968</v>
      </c>
      <c r="C22" s="8">
        <f>+C21/B21-1</f>
        <v>-0.15763412218693451</v>
      </c>
      <c r="D22" s="8">
        <f>'Quarterly Segmental Analysis'!G22</f>
        <v>0.14282239429196908</v>
      </c>
      <c r="E22" s="27">
        <f t="shared" ref="E22:K22" si="14">+E21/D21-1</f>
        <v>3.1926214969848488E-3</v>
      </c>
      <c r="F22" s="28">
        <f t="shared" si="14"/>
        <v>0.12970297029702982</v>
      </c>
      <c r="G22" s="8">
        <f t="shared" si="14"/>
        <v>1.0642293727306962E-2</v>
      </c>
      <c r="H22" s="8">
        <f t="shared" si="14"/>
        <v>-6.8632309217046661E-2</v>
      </c>
      <c r="I22" s="8">
        <f t="shared" si="14"/>
        <v>-7.9382409793163244E-2</v>
      </c>
      <c r="J22" s="8">
        <f t="shared" si="14"/>
        <v>-1.8582287179368606E-2</v>
      </c>
      <c r="K22" s="8">
        <f t="shared" si="14"/>
        <v>7.1866349773102689E-2</v>
      </c>
      <c r="L22" s="8">
        <f>+L21/K21-1</f>
        <v>-1.1056553239707556E-2</v>
      </c>
      <c r="M22" s="8">
        <f>+M21/L21-1</f>
        <v>9.5899447935835713E-2</v>
      </c>
      <c r="N22" s="8">
        <f>+N21/M21-1</f>
        <v>-0.11722586572885973</v>
      </c>
      <c r="O22" s="8">
        <v>0.19290815777195558</v>
      </c>
      <c r="P22" s="8">
        <f>+P21/O21-1</f>
        <v>0.35525603225224134</v>
      </c>
      <c r="Q22" s="28">
        <f>+Q21/P21-1</f>
        <v>5.1569506726457215E-2</v>
      </c>
      <c r="R22" s="28"/>
      <c r="S22" s="53"/>
      <c r="T22" s="53"/>
    </row>
    <row r="23" spans="1:20" ht="14">
      <c r="A23" s="314" t="s">
        <v>140</v>
      </c>
      <c r="B23" s="41">
        <f t="shared" ref="B23:G23" si="15">+B21+B19+B17</f>
        <v>6980.7000000000007</v>
      </c>
      <c r="C23" s="41">
        <f t="shared" si="15"/>
        <v>6543.6</v>
      </c>
      <c r="D23" s="41">
        <f t="shared" si="15"/>
        <v>6793.6</v>
      </c>
      <c r="E23" s="29">
        <f t="shared" si="15"/>
        <v>6824.3</v>
      </c>
      <c r="F23" s="30">
        <f t="shared" si="15"/>
        <v>7044.6999999999989</v>
      </c>
      <c r="G23" s="41">
        <f t="shared" si="15"/>
        <v>6874</v>
      </c>
      <c r="H23" s="41">
        <f>+H21+H19+H17</f>
        <v>6510.2</v>
      </c>
      <c r="I23" s="41">
        <f>+I21+I19+I17</f>
        <v>6346.1287099599995</v>
      </c>
      <c r="J23" s="41">
        <f>+J21+J19+J17</f>
        <v>6219.0060705700007</v>
      </c>
      <c r="K23" s="41">
        <f>+K21+K19+K17</f>
        <v>6522</v>
      </c>
      <c r="L23" s="41">
        <f>+L21+L19+L17</f>
        <v>6657.1</v>
      </c>
      <c r="M23" s="41">
        <v>7026</v>
      </c>
      <c r="N23" s="41">
        <f>N17+N19+N21</f>
        <v>6131.8</v>
      </c>
      <c r="O23" s="41">
        <v>7168.4</v>
      </c>
      <c r="P23" s="41">
        <f>VLOOKUP(A23,'Quarterly Segmental Analysis'!$A$17:$BW$24,75,FALSE)</f>
        <v>9198.4000000000015</v>
      </c>
      <c r="Q23" s="30">
        <v>10184</v>
      </c>
      <c r="R23" s="30"/>
      <c r="S23" s="53"/>
      <c r="T23" s="53"/>
    </row>
    <row r="24" spans="1:20" ht="14.5" thickBot="1">
      <c r="A24" s="297" t="s">
        <v>141</v>
      </c>
      <c r="B24" s="42">
        <v>8.028598399851461E-2</v>
      </c>
      <c r="C24" s="42">
        <f t="shared" ref="C24:K24" si="16">+C23/B23-1</f>
        <v>-6.2615497013193577E-2</v>
      </c>
      <c r="D24" s="42">
        <f t="shared" si="16"/>
        <v>3.8205269270737752E-2</v>
      </c>
      <c r="E24" s="31">
        <f t="shared" si="16"/>
        <v>4.5189590202543428E-3</v>
      </c>
      <c r="F24" s="32">
        <f t="shared" si="16"/>
        <v>3.2296352739474843E-2</v>
      </c>
      <c r="G24" s="42">
        <f t="shared" si="16"/>
        <v>-2.4230982156798531E-2</v>
      </c>
      <c r="H24" s="42">
        <f t="shared" si="16"/>
        <v>-5.2924061681699164E-2</v>
      </c>
      <c r="I24" s="42">
        <f t="shared" si="16"/>
        <v>-2.5202188878989951E-2</v>
      </c>
      <c r="J24" s="42">
        <f t="shared" si="16"/>
        <v>-2.0031525548872775E-2</v>
      </c>
      <c r="K24" s="42">
        <f t="shared" si="16"/>
        <v>4.8720635740146179E-2</v>
      </c>
      <c r="L24" s="42">
        <f>+L23/K23-1</f>
        <v>2.0714504753143181E-2</v>
      </c>
      <c r="M24" s="42">
        <f>+M23/L23-1</f>
        <v>5.5414519835964571E-2</v>
      </c>
      <c r="N24" s="42">
        <f>+N23/M23-1</f>
        <v>-0.12727013948192423</v>
      </c>
      <c r="O24" s="42">
        <v>0.16905313284842949</v>
      </c>
      <c r="P24" s="42">
        <f>+P23/O23-1</f>
        <v>0.2831873221360417</v>
      </c>
      <c r="Q24" s="32">
        <f>+Q23/P23-1</f>
        <v>0.10714906940337432</v>
      </c>
      <c r="R24" s="32"/>
      <c r="S24" s="53"/>
      <c r="T24" s="53"/>
    </row>
    <row r="25" spans="1:20" ht="14.5" thickBot="1">
      <c r="A25" s="10"/>
      <c r="B25" s="11"/>
      <c r="C25" s="11"/>
      <c r="D25" s="11"/>
      <c r="E25" s="11"/>
      <c r="F25" s="11"/>
      <c r="G25" s="4"/>
      <c r="H25" s="4"/>
      <c r="I25" s="4"/>
      <c r="J25" s="4"/>
      <c r="K25" s="4"/>
      <c r="L25" s="4"/>
      <c r="M25" s="4"/>
      <c r="N25" s="4"/>
      <c r="O25" s="4"/>
      <c r="P25" s="4"/>
      <c r="Q25" s="4"/>
      <c r="R25" s="4"/>
      <c r="S25" s="53"/>
      <c r="T25" s="53"/>
    </row>
    <row r="26" spans="1:20" s="53" customFormat="1" ht="14">
      <c r="A26" s="392"/>
      <c r="B26" s="49"/>
      <c r="C26" s="49"/>
      <c r="D26" s="49"/>
      <c r="E26" s="50" t="s">
        <v>26</v>
      </c>
      <c r="F26" s="51"/>
      <c r="G26" s="55" t="s">
        <v>127</v>
      </c>
      <c r="H26" s="56"/>
      <c r="I26" s="57"/>
      <c r="J26" s="57"/>
      <c r="K26" s="57"/>
      <c r="L26" s="57"/>
      <c r="M26" s="57"/>
      <c r="N26" s="57"/>
      <c r="O26" s="57"/>
      <c r="P26" s="57"/>
      <c r="Q26" s="58"/>
      <c r="R26" s="58"/>
    </row>
    <row r="27" spans="1:20" s="54" customFormat="1" ht="15.5">
      <c r="A27" s="393" t="s">
        <v>148</v>
      </c>
      <c r="B27" s="103">
        <f t="shared" ref="B27:R27" si="17">B$5</f>
        <v>2008</v>
      </c>
      <c r="C27" s="103">
        <f t="shared" si="17"/>
        <v>2009</v>
      </c>
      <c r="D27" s="103">
        <f t="shared" si="17"/>
        <v>2010</v>
      </c>
      <c r="E27" s="104" t="str">
        <f t="shared" si="17"/>
        <v>2011*</v>
      </c>
      <c r="F27" s="105" t="str">
        <f t="shared" si="17"/>
        <v>2012*</v>
      </c>
      <c r="G27" s="103">
        <f t="shared" si="17"/>
        <v>2013</v>
      </c>
      <c r="H27" s="103">
        <f t="shared" si="17"/>
        <v>2014</v>
      </c>
      <c r="I27" s="103">
        <f t="shared" si="17"/>
        <v>2015</v>
      </c>
      <c r="J27" s="103">
        <f t="shared" si="17"/>
        <v>2016</v>
      </c>
      <c r="K27" s="103">
        <f t="shared" si="17"/>
        <v>2017</v>
      </c>
      <c r="L27" s="103">
        <f t="shared" si="17"/>
        <v>2018</v>
      </c>
      <c r="M27" s="103">
        <f t="shared" si="17"/>
        <v>2019</v>
      </c>
      <c r="N27" s="103">
        <f t="shared" si="17"/>
        <v>2020</v>
      </c>
      <c r="O27" s="103">
        <f t="shared" si="17"/>
        <v>2021</v>
      </c>
      <c r="P27" s="103">
        <f t="shared" si="17"/>
        <v>2022</v>
      </c>
      <c r="Q27" s="105">
        <f t="shared" si="17"/>
        <v>2023</v>
      </c>
      <c r="R27" s="105">
        <f t="shared" si="17"/>
        <v>2024</v>
      </c>
      <c r="S27" s="53"/>
      <c r="T27" s="53"/>
    </row>
    <row r="28" spans="1:20" ht="14">
      <c r="A28" s="394" t="s">
        <v>0</v>
      </c>
      <c r="B28" s="13">
        <v>79.599999999999994</v>
      </c>
      <c r="C28" s="13">
        <v>297.60000000000002</v>
      </c>
      <c r="D28" s="13">
        <f>'Quarterly Segmental Analysis'!G51</f>
        <v>268.89999999999998</v>
      </c>
      <c r="E28" s="19">
        <f>'Quarterly Segmental Analysis'!M51</f>
        <v>201.4</v>
      </c>
      <c r="F28" s="20">
        <f>'Quarterly Segmental Analysis'!W51</f>
        <v>92.5</v>
      </c>
      <c r="G28" s="13">
        <f>'Quarterly Segmental Analysis'!AC51</f>
        <v>88.6</v>
      </c>
      <c r="H28" s="13">
        <f>'Quarterly Segmental Analysis'!AI51</f>
        <v>123.7</v>
      </c>
      <c r="I28" s="13">
        <f>'Quarterly Segmental Analysis'!AN51</f>
        <v>171.3</v>
      </c>
      <c r="J28" s="13">
        <f>'Quarterly Segmental Analysis'!AS51</f>
        <v>236.8</v>
      </c>
      <c r="K28" s="13">
        <f>'Quarterly Segmental Analysis'!AX51</f>
        <v>238.3</v>
      </c>
      <c r="L28" s="13">
        <v>232</v>
      </c>
      <c r="M28" s="13">
        <v>236</v>
      </c>
      <c r="N28" s="13">
        <v>203.3</v>
      </c>
      <c r="O28" s="13">
        <v>285.60000000000002</v>
      </c>
      <c r="P28" s="13">
        <f>VLOOKUP(A28,'Quarterly Segmental Analysis'!$A$51:$BW$62,75,FALSE)</f>
        <v>310.39999999999998</v>
      </c>
      <c r="Q28" s="20">
        <v>379.2</v>
      </c>
      <c r="R28" s="20"/>
      <c r="S28" s="53"/>
      <c r="T28" s="53"/>
    </row>
    <row r="29" spans="1:20" ht="14">
      <c r="A29" s="327" t="s">
        <v>141</v>
      </c>
      <c r="B29" s="39" t="s">
        <v>102</v>
      </c>
      <c r="C29" s="7" t="str">
        <f t="shared" ref="C29:K29" si="18">IF(OR(((C28-B28)/B28)&gt;=100%,((C28-B28)/B28)&lt;=-100%),"&gt;100%",((C28-B28)/ABS(B28)))</f>
        <v>&gt;100%</v>
      </c>
      <c r="D29" s="7">
        <f t="shared" si="18"/>
        <v>-9.6438172043010903E-2</v>
      </c>
      <c r="E29" s="17">
        <f t="shared" si="18"/>
        <v>-0.25102268501301589</v>
      </c>
      <c r="F29" s="18">
        <f t="shared" si="18"/>
        <v>-0.54071499503475673</v>
      </c>
      <c r="G29" s="7">
        <f t="shared" si="18"/>
        <v>-4.2162162162162224E-2</v>
      </c>
      <c r="H29" s="7">
        <f t="shared" si="18"/>
        <v>0.39616252821670439</v>
      </c>
      <c r="I29" s="7">
        <f t="shared" si="18"/>
        <v>0.38480194017784969</v>
      </c>
      <c r="J29" s="7">
        <f t="shared" si="18"/>
        <v>0.38237011091652068</v>
      </c>
      <c r="K29" s="7">
        <f t="shared" si="18"/>
        <v>6.3344594594594589E-3</v>
      </c>
      <c r="L29" s="7">
        <f>IF(OR(((L28-K28)/K28)&gt;=100%,((L28-K28)/K28)&lt;=-100%),"&gt;100%",((L28-K28)/ABS(K28)))</f>
        <v>-2.6437263953000466E-2</v>
      </c>
      <c r="M29" s="7">
        <f>IF(OR(((M28-L28)/L28)&gt;=100%,((M28-L28)/L28)&lt;=-100%),"&gt;100%",((M28-L28)/ABS(L28)))</f>
        <v>1.7241379310344827E-2</v>
      </c>
      <c r="N29" s="7">
        <f>IF(OR(((N28-M28)/M28)&gt;=100%,((N28-M28)/M28)&lt;=-100%),"&gt;100%",((N28-M28)/ABS(M28)))</f>
        <v>-0.13855932203389826</v>
      </c>
      <c r="O29" s="7">
        <v>0.40482046237088043</v>
      </c>
      <c r="P29" s="7">
        <f>IF(OR(((P28-O28)/O28)&gt;=100%,((P28-O28)/O28)&lt;=-100%),"&gt;100%",((P28-O28)/ABS(O28)))</f>
        <v>8.6834733893557253E-2</v>
      </c>
      <c r="Q29" s="18">
        <f>IF(OR(((Q28-P28)/P28)&gt;=100%,((Q28-P28)/P28)&lt;=-100%),"&gt;100%",((Q28-P28)/ABS(P28)))</f>
        <v>0.22164948453608252</v>
      </c>
      <c r="R29" s="18"/>
      <c r="S29" s="53"/>
      <c r="T29" s="53"/>
    </row>
    <row r="30" spans="1:20" ht="14">
      <c r="A30" s="395" t="s">
        <v>142</v>
      </c>
      <c r="B30" s="24">
        <f>+B28/$B$17</f>
        <v>2.9437869822485203E-2</v>
      </c>
      <c r="C30" s="24">
        <f>+C28/$C$17</f>
        <v>0.10164628731470729</v>
      </c>
      <c r="D30" s="24">
        <f>'Quarterly Segmental Analysis'!G53</f>
        <v>9.4863472800395102E-2</v>
      </c>
      <c r="E30" s="25">
        <f>'Quarterly Segmental Analysis'!M53</f>
        <v>7.1045576407506694E-2</v>
      </c>
      <c r="F30" s="26">
        <f>'Quarterly Segmental Analysis'!W53</f>
        <v>3.4236434969279743E-2</v>
      </c>
      <c r="G30" s="24">
        <f>'Quarterly Segmental Analysis'!AC53</f>
        <v>3.4887383839974799E-2</v>
      </c>
      <c r="H30" s="24">
        <f>'Quarterly Segmental Analysis'!AI53</f>
        <v>5.051247498877047E-2</v>
      </c>
      <c r="I30" s="24">
        <f>'Quarterly Segmental Analysis'!AN53</f>
        <v>6.8915644918989258E-2</v>
      </c>
      <c r="J30" s="24">
        <f>'Quarterly Segmental Analysis'!AS53</f>
        <v>9.8348281875220392E-2</v>
      </c>
      <c r="K30" s="24">
        <f>'Quarterly Segmental Analysis'!AX53</f>
        <v>9.7812256290276234E-2</v>
      </c>
      <c r="L30" s="24">
        <v>9.4E-2</v>
      </c>
      <c r="M30" s="24">
        <v>9.4E-2</v>
      </c>
      <c r="N30" s="24">
        <v>9.2999999999999999E-2</v>
      </c>
      <c r="O30" s="24">
        <v>0.115</v>
      </c>
      <c r="P30" s="24">
        <v>0.104</v>
      </c>
      <c r="Q30" s="26">
        <v>0.113</v>
      </c>
      <c r="R30" s="26"/>
      <c r="S30" s="53"/>
      <c r="T30" s="53"/>
    </row>
    <row r="31" spans="1:20" ht="14">
      <c r="A31" s="394" t="s">
        <v>7</v>
      </c>
      <c r="B31" s="13">
        <v>118.6</v>
      </c>
      <c r="C31" s="13">
        <v>86.3</v>
      </c>
      <c r="D31" s="13">
        <f>'Quarterly Segmental Analysis'!G54</f>
        <v>89.199999999999989</v>
      </c>
      <c r="E31" s="19">
        <f>'Quarterly Segmental Analysis'!M54</f>
        <v>58.4</v>
      </c>
      <c r="F31" s="20">
        <f>'Quarterly Segmental Analysis'!W54</f>
        <v>-8.6999999999999993</v>
      </c>
      <c r="G31" s="13">
        <f>'Quarterly Segmental Analysis'!AC54</f>
        <v>36.6</v>
      </c>
      <c r="H31" s="13">
        <f>'Quarterly Segmental Analysis'!AI54</f>
        <v>52</v>
      </c>
      <c r="I31" s="13">
        <f>'Quarterly Segmental Analysis'!AN54</f>
        <v>87.4</v>
      </c>
      <c r="J31" s="13">
        <f>'Quarterly Segmental Analysis'!AS54</f>
        <v>92.9</v>
      </c>
      <c r="K31" s="13">
        <f>'Quarterly Segmental Analysis'!AX54</f>
        <v>91.6</v>
      </c>
      <c r="L31" s="13">
        <v>130.69999999999999</v>
      </c>
      <c r="M31" s="13">
        <v>139</v>
      </c>
      <c r="N31" s="13">
        <v>97</v>
      </c>
      <c r="O31" s="13">
        <v>104.7</v>
      </c>
      <c r="P31" s="13">
        <f>VLOOKUP(A31,'Quarterly Segmental Analysis'!$A$51:$BW$62,75,FALSE)</f>
        <v>113.1</v>
      </c>
      <c r="Q31" s="20">
        <v>152.6</v>
      </c>
      <c r="R31" s="20"/>
      <c r="S31" s="53"/>
      <c r="T31" s="53"/>
    </row>
    <row r="32" spans="1:20" ht="14">
      <c r="A32" s="327" t="s">
        <v>141</v>
      </c>
      <c r="B32" s="39" t="s">
        <v>102</v>
      </c>
      <c r="C32" s="7">
        <f t="shared" ref="C32:K32" si="19">IF(OR(((C31-B31)/B31)&gt;=100%,((C31-B31)/B31)&lt;=-100%),"&gt;100%",((C31-B31)/ABS(B31)))</f>
        <v>-0.27234401349072512</v>
      </c>
      <c r="D32" s="7">
        <f t="shared" si="19"/>
        <v>3.3603707995364905E-2</v>
      </c>
      <c r="E32" s="17">
        <f t="shared" si="19"/>
        <v>-0.34529147982062774</v>
      </c>
      <c r="F32" s="18" t="str">
        <f t="shared" si="19"/>
        <v>&gt;100%</v>
      </c>
      <c r="G32" s="7" t="str">
        <f t="shared" si="19"/>
        <v>&gt;100%</v>
      </c>
      <c r="H32" s="7">
        <f t="shared" si="19"/>
        <v>0.42076502732240434</v>
      </c>
      <c r="I32" s="7">
        <f t="shared" si="19"/>
        <v>0.6807692307692309</v>
      </c>
      <c r="J32" s="7">
        <f t="shared" si="19"/>
        <v>6.2929061784897017E-2</v>
      </c>
      <c r="K32" s="7">
        <f t="shared" si="19"/>
        <v>-1.3993541442411316E-2</v>
      </c>
      <c r="L32" s="7">
        <f>IF(OR(((L31-K31)/K31)&gt;=100%,((L31-K31)/K31)&lt;=-100%),"&gt;100%",((L31-K31)/ABS(K31)))</f>
        <v>0.42685589519650652</v>
      </c>
      <c r="M32" s="7">
        <f>IF(OR(((M31-L31)/L31)&gt;=100%,((M31-L31)/L31)&lt;=-100%),"&gt;100%",((M31-L31)/ABS(L31)))</f>
        <v>6.3504208110176069E-2</v>
      </c>
      <c r="N32" s="7">
        <f>IF(OR(((N31-M31)/M31)&gt;=100%,((N31-M31)/M31)&lt;=-100%),"&gt;100%",((N31-M31)/ABS(M31)))</f>
        <v>-0.30215827338129497</v>
      </c>
      <c r="O32" s="7">
        <v>7.9381443298969012E-2</v>
      </c>
      <c r="P32" s="7">
        <f>IF(OR(((P31-O31)/O31)&gt;=100%,((P31-O31)/O31)&lt;=-100%),"&gt;100%",((P31-O31)/ABS(O31)))</f>
        <v>8.0229226361031442E-2</v>
      </c>
      <c r="Q32" s="18">
        <f>IF(OR(((Q31-P31)/P31)&gt;=100%,((Q31-P31)/P31)&lt;=-100%),"&gt;100%",((Q31-P31)/ABS(P31)))</f>
        <v>0.34924845269672855</v>
      </c>
      <c r="R32" s="18"/>
      <c r="S32" s="53"/>
      <c r="T32" s="53"/>
    </row>
    <row r="33" spans="1:20" ht="14">
      <c r="A33" s="395" t="s">
        <v>142</v>
      </c>
      <c r="B33" s="24">
        <f>+B31/$B$19</f>
        <v>8.7956096113912779E-2</v>
      </c>
      <c r="C33" s="24">
        <f>+C31/$C$19</f>
        <v>7.5102253937864419E-2</v>
      </c>
      <c r="D33" s="24">
        <f>'Quarterly Segmental Analysis'!G56</f>
        <v>7.8245614035087716E-2</v>
      </c>
      <c r="E33" s="25">
        <f>'Quarterly Segmental Analysis'!M56</f>
        <v>5.0279810589754628E-2</v>
      </c>
      <c r="F33" s="26">
        <f>'Quarterly Segmental Analysis'!W56</f>
        <v>-7.5777371309119412E-3</v>
      </c>
      <c r="G33" s="24">
        <f>'Quarterly Segmental Analysis'!AC56</f>
        <v>3.3104196816208395E-2</v>
      </c>
      <c r="H33" s="24">
        <f>'Quarterly Segmental Analysis'!AI56</f>
        <v>4.9331182999715402E-2</v>
      </c>
      <c r="I33" s="24">
        <f>'Quarterly Segmental Analysis'!AN56</f>
        <v>8.0036630036630044E-2</v>
      </c>
      <c r="J33" s="24">
        <f>'Quarterly Segmental Analysis'!AS56</f>
        <v>8.4902211661487842E-2</v>
      </c>
      <c r="K33" s="24">
        <f>'Quarterly Segmental Analysis'!AX56</f>
        <v>7.8063746378046694E-2</v>
      </c>
      <c r="L33" s="24">
        <v>0.1</v>
      </c>
      <c r="M33" s="24">
        <v>0.10299999999999999</v>
      </c>
      <c r="N33" s="24">
        <v>8.3000000000000004E-2</v>
      </c>
      <c r="O33" s="24">
        <v>7.6999999999999999E-2</v>
      </c>
      <c r="P33" s="24">
        <v>6.6000000000000003E-2</v>
      </c>
      <c r="Q33" s="26">
        <v>7.2999999999999995E-2</v>
      </c>
      <c r="R33" s="26"/>
      <c r="S33" s="53"/>
      <c r="T33" s="53"/>
    </row>
    <row r="34" spans="1:20" ht="14">
      <c r="A34" s="394" t="s">
        <v>15</v>
      </c>
      <c r="B34" s="13">
        <v>256.39999999999998</v>
      </c>
      <c r="C34" s="13">
        <v>254.9</v>
      </c>
      <c r="D34" s="13">
        <f>'Quarterly Segmental Analysis'!G57</f>
        <v>291.8</v>
      </c>
      <c r="E34" s="19">
        <f>'Quarterly Segmental Analysis'!M57</f>
        <v>190.5</v>
      </c>
      <c r="F34" s="20">
        <f>'Quarterly Segmental Analysis'!W57</f>
        <v>253.9</v>
      </c>
      <c r="G34" s="13">
        <f>'Quarterly Segmental Analysis'!AC57</f>
        <v>248.5</v>
      </c>
      <c r="H34" s="13">
        <f>'Quarterly Segmental Analysis'!AI57</f>
        <v>185.4</v>
      </c>
      <c r="I34" s="13">
        <f>'Quarterly Segmental Analysis'!AN57</f>
        <v>159.5</v>
      </c>
      <c r="J34" s="13">
        <f>'Quarterly Segmental Analysis'!AS57</f>
        <v>176.6</v>
      </c>
      <c r="K34" s="13">
        <f>'Quarterly Segmental Analysis'!AX57</f>
        <v>259.89999999999998</v>
      </c>
      <c r="L34" s="13">
        <v>276.7</v>
      </c>
      <c r="M34" s="13">
        <v>340.3</v>
      </c>
      <c r="N34" s="13">
        <v>360.4</v>
      </c>
      <c r="O34" s="13">
        <v>409</v>
      </c>
      <c r="P34" s="13">
        <f>VLOOKUP(A34,'Quarterly Segmental Analysis'!$A$51:$BW$62,75,FALSE)</f>
        <v>280.3</v>
      </c>
      <c r="Q34" s="20">
        <v>421.8</v>
      </c>
      <c r="R34" s="20"/>
      <c r="S34" s="53"/>
      <c r="T34" s="53"/>
    </row>
    <row r="35" spans="1:20" ht="14">
      <c r="A35" s="327" t="s">
        <v>141</v>
      </c>
      <c r="B35" s="39" t="s">
        <v>102</v>
      </c>
      <c r="C35" s="7">
        <f t="shared" ref="C35:K35" si="20">IF(OR(((C34-B34)/B34)&gt;=100%,((C34-B34)/B34)&lt;=-100%),"&gt;100%",((C34-B34)/ABS(B34)))</f>
        <v>-5.8502340093602645E-3</v>
      </c>
      <c r="D35" s="7">
        <f t="shared" si="20"/>
        <v>0.14476265202040017</v>
      </c>
      <c r="E35" s="17">
        <f t="shared" si="20"/>
        <v>-0.34715558601782043</v>
      </c>
      <c r="F35" s="18">
        <f t="shared" si="20"/>
        <v>0.33280839895013126</v>
      </c>
      <c r="G35" s="7">
        <f t="shared" si="20"/>
        <v>-2.1268215833005141E-2</v>
      </c>
      <c r="H35" s="7">
        <f t="shared" si="20"/>
        <v>-0.2539235412474849</v>
      </c>
      <c r="I35" s="7">
        <f t="shared" si="20"/>
        <v>-0.13969795037756205</v>
      </c>
      <c r="J35" s="7">
        <f t="shared" si="20"/>
        <v>0.10721003134796235</v>
      </c>
      <c r="K35" s="7">
        <f t="shared" si="20"/>
        <v>0.47168742921857298</v>
      </c>
      <c r="L35" s="7">
        <f>IF(OR(((L34-K34)/K34)&gt;=100%,((L34-K34)/K34)&lt;=-100%),"&gt;100%",((L34-K34)/ABS(K34)))</f>
        <v>6.4640246248557187E-2</v>
      </c>
      <c r="M35" s="7">
        <f>IF(OR(((M34-L34)/L34)&gt;=100%,((M34-L34)/L34)&lt;=-100%),"&gt;100%",((M34-L34)/ABS(L34)))</f>
        <v>0.2298518250813156</v>
      </c>
      <c r="N35" s="7">
        <f>IF(OR(((N34-M34)/M34)&gt;=100%,((N34-M34)/M34)&lt;=-100%),"&gt;100%",((N34-M34)/ABS(M34)))</f>
        <v>5.9065530414340185E-2</v>
      </c>
      <c r="O35" s="7">
        <v>0.13485016648168702</v>
      </c>
      <c r="P35" s="7">
        <f>IF(OR(((P34-O34)/O34)&gt;=100%,((P34-O34)/O34)&lt;=-100%),"&gt;100%",((P34-O34)/ABS(O34)))</f>
        <v>-0.31466992665036669</v>
      </c>
      <c r="Q35" s="18">
        <f>IF(OR(((Q34-P34)/P34)&gt;=100%,((Q34-P34)/P34)&lt;=-100%),"&gt;100%",((Q34-P34)/ABS(P34)))</f>
        <v>0.50481626828398141</v>
      </c>
      <c r="R35" s="18"/>
      <c r="S35" s="53"/>
      <c r="T35" s="53"/>
    </row>
    <row r="36" spans="1:20" ht="14">
      <c r="A36" s="395" t="s">
        <v>142</v>
      </c>
      <c r="B36" s="24">
        <f>+B34/$B$21</f>
        <v>8.7559334767612601E-2</v>
      </c>
      <c r="C36" s="24">
        <f>+C34/$C$21</f>
        <v>0.10333644139944055</v>
      </c>
      <c r="D36" s="24">
        <f>'Quarterly Segmental Analysis'!G59</f>
        <v>0.10351188364668322</v>
      </c>
      <c r="E36" s="25">
        <f>'Quarterly Segmental Analysis'!M59</f>
        <v>6.7362093352192356E-2</v>
      </c>
      <c r="F36" s="26">
        <f>'Quarterly Segmental Analysis'!W59</f>
        <v>7.9472893451859275E-2</v>
      </c>
      <c r="G36" s="24">
        <f>'Quarterly Segmental Analysis'!AC59</f>
        <v>7.6963577799801786E-2</v>
      </c>
      <c r="H36" s="24">
        <f>'Quarterly Segmental Analysis'!AI59</f>
        <v>6.1652035115722273E-2</v>
      </c>
      <c r="I36" s="24">
        <f>'Quarterly Segmental Analysis'!AN59</f>
        <v>5.7612816372033408E-2</v>
      </c>
      <c r="J36" s="24">
        <f>'Quarterly Segmental Analysis'!AS59</f>
        <v>6.4997286464282489E-2</v>
      </c>
      <c r="K36" s="24">
        <f>'Quarterly Segmental Analysis'!AX59</f>
        <v>8.9242179720495821E-2</v>
      </c>
      <c r="L36" s="24">
        <v>9.6000000000000002E-2</v>
      </c>
      <c r="M36" s="24">
        <v>0.108</v>
      </c>
      <c r="N36" s="24">
        <v>0.129</v>
      </c>
      <c r="O36" s="24">
        <v>0.123</v>
      </c>
      <c r="P36" s="24">
        <v>6.2E-2</v>
      </c>
      <c r="Q36" s="26">
        <v>8.8999999999999996E-2</v>
      </c>
      <c r="R36" s="26"/>
      <c r="S36" s="53"/>
      <c r="T36" s="53"/>
    </row>
    <row r="37" spans="1:20" ht="14">
      <c r="A37" s="314" t="s">
        <v>140</v>
      </c>
      <c r="B37" s="43">
        <f>+B34+B31+B28</f>
        <v>454.6</v>
      </c>
      <c r="C37" s="43">
        <f>+C34+C31+C28</f>
        <v>638.79999999999995</v>
      </c>
      <c r="D37" s="43">
        <f>'Quarterly Segmental Analysis'!G60</f>
        <v>649.9</v>
      </c>
      <c r="E37" s="37">
        <f>'Quarterly Segmental Analysis'!M60</f>
        <v>450.3</v>
      </c>
      <c r="F37" s="38">
        <f>'Quarterly Segmental Analysis'!W60</f>
        <v>337.70000000000005</v>
      </c>
      <c r="G37" s="43">
        <f>'Quarterly Segmental Analysis'!AC60</f>
        <v>373.70000000000005</v>
      </c>
      <c r="H37" s="43">
        <f>'Quarterly Segmental Analysis'!AI60</f>
        <v>361.1</v>
      </c>
      <c r="I37" s="43">
        <f>'Quarterly Segmental Analysis'!AN60</f>
        <v>418.20000000000005</v>
      </c>
      <c r="J37" s="43">
        <f>'Quarterly Segmental Analysis'!AS60</f>
        <v>506.3</v>
      </c>
      <c r="K37" s="43">
        <f>'Quarterly Segmental Analysis'!AX60</f>
        <v>589.79999999999995</v>
      </c>
      <c r="L37" s="43">
        <v>639.4</v>
      </c>
      <c r="M37" s="43">
        <v>715.3</v>
      </c>
      <c r="N37" s="43">
        <v>660.7</v>
      </c>
      <c r="O37" s="43">
        <v>799.3</v>
      </c>
      <c r="P37" s="43">
        <f>VLOOKUP(A37,'Quarterly Segmental Analysis'!$A$51:$BW$62,75,FALSE)</f>
        <v>703.8</v>
      </c>
      <c r="Q37" s="38">
        <v>953.6</v>
      </c>
      <c r="R37" s="38"/>
      <c r="S37" s="53"/>
      <c r="T37" s="53"/>
    </row>
    <row r="38" spans="1:20" ht="14">
      <c r="A38" s="330" t="s">
        <v>141</v>
      </c>
      <c r="B38" s="40" t="s">
        <v>102</v>
      </c>
      <c r="C38" s="44">
        <f t="shared" ref="C38:K38" si="21">IF(OR(((C37-B37)/B37)&gt;=100%,((C37-B37)/B37)&lt;=-100%),"&gt;100%",((C37-B37)/ABS(B37)))</f>
        <v>0.40519137703475566</v>
      </c>
      <c r="D38" s="44">
        <f t="shared" si="21"/>
        <v>1.7376330619912374E-2</v>
      </c>
      <c r="E38" s="33">
        <f t="shared" si="21"/>
        <v>-0.30712417294968453</v>
      </c>
      <c r="F38" s="34">
        <f t="shared" si="21"/>
        <v>-0.25005551854319336</v>
      </c>
      <c r="G38" s="44">
        <f t="shared" si="21"/>
        <v>0.10660349422564405</v>
      </c>
      <c r="H38" s="44">
        <f t="shared" si="21"/>
        <v>-3.3716885202033774E-2</v>
      </c>
      <c r="I38" s="44">
        <f t="shared" si="21"/>
        <v>0.15812794239822769</v>
      </c>
      <c r="J38" s="44">
        <f t="shared" si="21"/>
        <v>0.21066475370636048</v>
      </c>
      <c r="K38" s="44">
        <f t="shared" si="21"/>
        <v>0.16492198301402319</v>
      </c>
      <c r="L38" s="44">
        <f>IF(OR(((L37-K37)/K37)&gt;=100%,((L37-K37)/K37)&lt;=-100%),"&gt;100%",((L37-K37)/ABS(K37)))</f>
        <v>8.409630383180744E-2</v>
      </c>
      <c r="M38" s="44">
        <f>IF(OR(((M37-L37)/L37)&gt;=100%,((M37-L37)/L37)&lt;=-100%),"&gt;100%",((M37-L37)/ABS(L37)))</f>
        <v>0.11870503597122299</v>
      </c>
      <c r="N38" s="44">
        <f>IF(OR(((N37-M37)/M37)&gt;=100%,((N37-M37)/M37)&lt;=-100%),"&gt;100%",((N37-M37)/ABS(M37)))</f>
        <v>-7.6331609115056501E-2</v>
      </c>
      <c r="O38" s="44">
        <v>0.2097775087028908</v>
      </c>
      <c r="P38" s="44">
        <f>IF(OR(((P37-O37)/O37)&gt;=100%,((P37-O37)/O37)&lt;=-100%),"&gt;100%",((P37-O37)/ABS(O37)))</f>
        <v>-0.11947954460152634</v>
      </c>
      <c r="Q38" s="34">
        <f>IF(OR(((Q37-P37)/P37)&gt;=100%,((Q37-P37)/P37)&lt;=-100%),"&gt;100%",((Q37-P37)/ABS(P37)))</f>
        <v>0.35493037794828086</v>
      </c>
      <c r="R38" s="34"/>
      <c r="S38" s="53"/>
      <c r="T38" s="53"/>
    </row>
    <row r="39" spans="1:20" s="15" customFormat="1" ht="14.5" thickBot="1">
      <c r="A39" s="331" t="s">
        <v>142</v>
      </c>
      <c r="B39" s="45">
        <f>+B37/$B$23</f>
        <v>6.5122408927471453E-2</v>
      </c>
      <c r="C39" s="45">
        <f>+C37/$C$23</f>
        <v>9.7622104040589269E-2</v>
      </c>
      <c r="D39" s="45">
        <f>'Quarterly Segmental Analysis'!G62</f>
        <v>9.5663565708902484E-2</v>
      </c>
      <c r="E39" s="35">
        <f>'Quarterly Segmental Analysis'!M62</f>
        <v>6.598478964875519E-2</v>
      </c>
      <c r="F39" s="36">
        <f>'Quarterly Segmental Analysis'!W62</f>
        <v>4.7936746774170667E-2</v>
      </c>
      <c r="G39" s="45">
        <f>'Quarterly Segmental Analysis'!AC62</f>
        <v>5.4364271166715168E-2</v>
      </c>
      <c r="H39" s="45">
        <f>'Quarterly Segmental Analysis'!AI62</f>
        <v>5.5466805935301532E-2</v>
      </c>
      <c r="I39" s="45">
        <f>'Quarterly Segmental Analysis'!AN62</f>
        <v>6.5898442832344639E-2</v>
      </c>
      <c r="J39" s="45">
        <f>'Quarterly Segmental Analysis'!AS62</f>
        <v>8.1411723071946648E-2</v>
      </c>
      <c r="K39" s="45">
        <f>'Quarterly Segmental Analysis'!AX62</f>
        <v>9.0432382704691811E-2</v>
      </c>
      <c r="L39" s="45">
        <v>9.6000000000000002E-2</v>
      </c>
      <c r="M39" s="45">
        <v>0.10199999999999999</v>
      </c>
      <c r="N39" s="45">
        <v>0.108</v>
      </c>
      <c r="O39" s="45">
        <v>0.112</v>
      </c>
      <c r="P39" s="45">
        <v>7.6999999999999999E-2</v>
      </c>
      <c r="Q39" s="36">
        <v>9.363707776904949E-2</v>
      </c>
      <c r="R39" s="36"/>
      <c r="S39" s="53"/>
      <c r="T39" s="53"/>
    </row>
    <row r="40" spans="1:20" ht="14.5" thickBot="1">
      <c r="A40" s="4"/>
      <c r="B40" s="5"/>
      <c r="C40" s="5"/>
      <c r="D40" s="5"/>
      <c r="E40" s="5"/>
      <c r="F40" s="5"/>
      <c r="G40" s="4"/>
      <c r="H40" s="4"/>
      <c r="I40" s="4"/>
      <c r="J40" s="4"/>
      <c r="K40" s="4"/>
      <c r="L40" s="4"/>
      <c r="M40" s="4"/>
      <c r="N40" s="4"/>
      <c r="O40" s="4"/>
      <c r="P40" s="4"/>
      <c r="Q40" s="4"/>
      <c r="R40" s="4"/>
      <c r="S40" s="53"/>
      <c r="T40" s="53"/>
    </row>
    <row r="41" spans="1:20" s="53" customFormat="1" ht="14">
      <c r="A41" s="392"/>
      <c r="B41" s="49"/>
      <c r="C41" s="49"/>
      <c r="D41" s="49"/>
      <c r="E41" s="50" t="s">
        <v>26</v>
      </c>
      <c r="F41" s="51"/>
      <c r="G41" s="49"/>
      <c r="H41" s="49"/>
      <c r="I41" s="57"/>
      <c r="J41" s="57"/>
      <c r="K41" s="57"/>
      <c r="L41" s="57"/>
      <c r="M41" s="57"/>
      <c r="N41" s="57"/>
      <c r="O41" s="57"/>
      <c r="P41" s="57"/>
      <c r="Q41" s="58"/>
      <c r="R41" s="58"/>
    </row>
    <row r="42" spans="1:20" s="54" customFormat="1" ht="15.5">
      <c r="A42" s="393" t="s">
        <v>149</v>
      </c>
      <c r="B42" s="103">
        <f t="shared" ref="B42:R42" si="22">B$5</f>
        <v>2008</v>
      </c>
      <c r="C42" s="103">
        <f t="shared" si="22"/>
        <v>2009</v>
      </c>
      <c r="D42" s="103">
        <f t="shared" si="22"/>
        <v>2010</v>
      </c>
      <c r="E42" s="104" t="str">
        <f t="shared" si="22"/>
        <v>2011*</v>
      </c>
      <c r="F42" s="105" t="str">
        <f t="shared" si="22"/>
        <v>2012*</v>
      </c>
      <c r="G42" s="103">
        <f t="shared" si="22"/>
        <v>2013</v>
      </c>
      <c r="H42" s="103">
        <f t="shared" si="22"/>
        <v>2014</v>
      </c>
      <c r="I42" s="103">
        <f t="shared" si="22"/>
        <v>2015</v>
      </c>
      <c r="J42" s="103">
        <f t="shared" si="22"/>
        <v>2016</v>
      </c>
      <c r="K42" s="103">
        <f t="shared" si="22"/>
        <v>2017</v>
      </c>
      <c r="L42" s="103">
        <f t="shared" si="22"/>
        <v>2018</v>
      </c>
      <c r="M42" s="103">
        <f t="shared" si="22"/>
        <v>2019</v>
      </c>
      <c r="N42" s="103">
        <f t="shared" si="22"/>
        <v>2020</v>
      </c>
      <c r="O42" s="103">
        <f t="shared" si="22"/>
        <v>2021</v>
      </c>
      <c r="P42" s="103">
        <f t="shared" si="22"/>
        <v>2022</v>
      </c>
      <c r="Q42" s="105">
        <f t="shared" si="22"/>
        <v>2023</v>
      </c>
      <c r="R42" s="105">
        <f t="shared" si="22"/>
        <v>2024</v>
      </c>
      <c r="S42" s="53"/>
      <c r="T42" s="53"/>
    </row>
    <row r="43" spans="1:20" ht="14">
      <c r="A43" s="326" t="s">
        <v>0</v>
      </c>
      <c r="B43" s="13">
        <v>256.5</v>
      </c>
      <c r="C43" s="13">
        <v>327.60000000000002</v>
      </c>
      <c r="D43" s="13">
        <f>'Quarterly Segmental Analysis'!G67</f>
        <v>294.60000000000002</v>
      </c>
      <c r="E43" s="19">
        <f>'Quarterly Segmental Analysis'!M67</f>
        <v>249</v>
      </c>
      <c r="F43" s="20">
        <f>'Quarterly Segmental Analysis'!W67</f>
        <v>160</v>
      </c>
      <c r="G43" s="13">
        <f>'Quarterly Segmental Analysis'!AC67</f>
        <v>149.60087132615959</v>
      </c>
      <c r="H43" s="13">
        <f>'Quarterly Segmental Analysis'!AI67</f>
        <v>146.69999999999999</v>
      </c>
      <c r="I43" s="13">
        <f>'Quarterly Segmental Analysis'!AN67</f>
        <v>198.8</v>
      </c>
      <c r="J43" s="13">
        <f>'Quarterly Segmental Analysis'!AS67</f>
        <v>242.3</v>
      </c>
      <c r="K43" s="13">
        <f>'Quarterly Segmental Analysis'!AX67</f>
        <v>250.4</v>
      </c>
      <c r="L43" s="13">
        <v>240.7</v>
      </c>
      <c r="M43" s="13">
        <v>256.2</v>
      </c>
      <c r="N43" s="13">
        <v>209</v>
      </c>
      <c r="O43" s="13">
        <v>300.8</v>
      </c>
      <c r="P43" s="13">
        <f>VLOOKUP(A43,'Quarterly Segmental Analysis'!$A$67:$BW$78,75,FALSE)</f>
        <v>307.10000000000002</v>
      </c>
      <c r="Q43" s="20">
        <v>381.1</v>
      </c>
      <c r="R43" s="20"/>
      <c r="S43" s="53"/>
      <c r="T43" s="53"/>
    </row>
    <row r="44" spans="1:20" ht="14">
      <c r="A44" s="327" t="s">
        <v>141</v>
      </c>
      <c r="B44" s="39" t="s">
        <v>102</v>
      </c>
      <c r="C44" s="7">
        <f t="shared" ref="C44:K44" si="23">IF(OR(((C43-B43)/B43)&gt;=100%,((C43-B43)/B43)&lt;=-100%),"&gt;100%",((C43-B43)/ABS(B43)))</f>
        <v>0.27719298245614044</v>
      </c>
      <c r="D44" s="7">
        <f t="shared" si="23"/>
        <v>-0.10073260073260072</v>
      </c>
      <c r="E44" s="17">
        <f t="shared" si="23"/>
        <v>-0.15478615071283103</v>
      </c>
      <c r="F44" s="18">
        <f t="shared" si="23"/>
        <v>-0.35742971887550201</v>
      </c>
      <c r="G44" s="7">
        <f t="shared" si="23"/>
        <v>-6.4994554211502548E-2</v>
      </c>
      <c r="H44" s="7">
        <f t="shared" si="23"/>
        <v>-1.9390738171806015E-2</v>
      </c>
      <c r="I44" s="7">
        <f t="shared" si="23"/>
        <v>0.35514655760054553</v>
      </c>
      <c r="J44" s="7">
        <f t="shared" si="23"/>
        <v>0.21881287726358148</v>
      </c>
      <c r="K44" s="7">
        <f t="shared" si="23"/>
        <v>3.3429632686751934E-2</v>
      </c>
      <c r="L44" s="7">
        <f>IF(OR(((L43-K43)/K43)&gt;=100%,((L43-K43)/K43)&lt;=-100%),"&gt;100%",((L43-K43)/ABS(K43)))</f>
        <v>-3.873801916932914E-2</v>
      </c>
      <c r="M44" s="7">
        <f>IF(OR(((M43-L43)/L43)&gt;=100%,((M43-L43)/L43)&lt;=-100%),"&gt;100%",((M43-L43)/ABS(L43)))</f>
        <v>6.4395513086830086E-2</v>
      </c>
      <c r="N44" s="7">
        <f>IF(OR(((N43-M43)/M43)&gt;=100%,((N43-M43)/M43)&lt;=-100%),"&gt;100%",((N43-M43)/ABS(M43)))</f>
        <v>-0.18423106947697107</v>
      </c>
      <c r="O44" s="7">
        <v>0.43923444976076564</v>
      </c>
      <c r="P44" s="7">
        <f>IF(OR(((P43-O43)/O43)&gt;=100%,((P43-O43)/O43)&lt;=-100%),"&gt;100%",((P43-O43)/ABS(O43)))</f>
        <v>2.0944148936170248E-2</v>
      </c>
      <c r="Q44" s="18">
        <f>IF(OR(((Q43-P43)/P43)&gt;=100%,((Q43-P43)/P43)&lt;=-100%),"&gt;100%",((Q43-P43)/ABS(P43)))</f>
        <v>0.24096385542168672</v>
      </c>
      <c r="R44" s="18"/>
      <c r="S44" s="53"/>
      <c r="T44" s="53"/>
    </row>
    <row r="45" spans="1:20" ht="14">
      <c r="A45" s="328" t="s">
        <v>103</v>
      </c>
      <c r="B45" s="24">
        <f>+B43/$B$17</f>
        <v>9.4859467455621307E-2</v>
      </c>
      <c r="C45" s="24">
        <f>+C43/$C$17</f>
        <v>0.11189288885852859</v>
      </c>
      <c r="D45" s="24">
        <f>'Quarterly Segmental Analysis'!G69</f>
        <v>0.10393000776123615</v>
      </c>
      <c r="E45" s="25">
        <f>'Quarterly Segmental Analysis'!M69</f>
        <v>8.7836884436291798E-2</v>
      </c>
      <c r="F45" s="26">
        <f>'Quarterly Segmental Analysis'!W69</f>
        <v>5.9219779406321719E-2</v>
      </c>
      <c r="G45" s="24">
        <f>'Quarterly Segmental Analysis'!AC69</f>
        <v>5.8907257570546386E-2</v>
      </c>
      <c r="H45" s="24">
        <f>'Quarterly Segmental Analysis'!AI69</f>
        <v>5.9904446894524066E-2</v>
      </c>
      <c r="I45" s="24">
        <f>'Quarterly Segmental Analysis'!AN69</f>
        <v>7.9979160594833995E-2</v>
      </c>
      <c r="J45" s="24">
        <f>'Quarterly Segmental Analysis'!AS69</f>
        <v>0.100632553624856</v>
      </c>
      <c r="K45" s="24">
        <f>'Quarterly Segmental Analysis'!AX69</f>
        <v>0.10277880392398309</v>
      </c>
      <c r="L45" s="24">
        <v>9.7000000000000003E-2</v>
      </c>
      <c r="M45" s="24">
        <v>0.10199999999999999</v>
      </c>
      <c r="N45" s="24">
        <v>9.6000000000000002E-2</v>
      </c>
      <c r="O45" s="24">
        <v>0.121</v>
      </c>
      <c r="P45" s="24">
        <f>VLOOKUP(A45,'Quarterly Segmental Analysis'!$A$67:$BW$78,75,FALSE)</f>
        <v>0.10299999999999999</v>
      </c>
      <c r="Q45" s="26">
        <v>0.113</v>
      </c>
      <c r="R45" s="26"/>
      <c r="S45" s="53"/>
      <c r="T45" s="53"/>
    </row>
    <row r="46" spans="1:20" ht="14">
      <c r="A46" s="326" t="s">
        <v>7</v>
      </c>
      <c r="B46" s="13">
        <v>118.6</v>
      </c>
      <c r="C46" s="13">
        <v>97</v>
      </c>
      <c r="D46" s="13">
        <f>'Quarterly Segmental Analysis'!G70</f>
        <v>91.500000000000014</v>
      </c>
      <c r="E46" s="19">
        <f>'Quarterly Segmental Analysis'!M70</f>
        <v>76</v>
      </c>
      <c r="F46" s="20">
        <f>'Quarterly Segmental Analysis'!W70</f>
        <v>26.796941000000007</v>
      </c>
      <c r="G46" s="13">
        <f>'Quarterly Segmental Analysis'!AC70</f>
        <v>41.604700367139799</v>
      </c>
      <c r="H46" s="13">
        <f>'Quarterly Segmental Analysis'!AI70</f>
        <v>57.9</v>
      </c>
      <c r="I46" s="13">
        <f>'Quarterly Segmental Analysis'!AN70</f>
        <v>98.6</v>
      </c>
      <c r="J46" s="13">
        <f>'Quarterly Segmental Analysis'!AS70</f>
        <v>97.1</v>
      </c>
      <c r="K46" s="13">
        <f>'Quarterly Segmental Analysis'!AX70</f>
        <v>92.3</v>
      </c>
      <c r="L46" s="13">
        <v>137</v>
      </c>
      <c r="M46" s="13">
        <v>146.4</v>
      </c>
      <c r="N46" s="13">
        <v>102.1</v>
      </c>
      <c r="O46" s="13">
        <v>106.5</v>
      </c>
      <c r="P46" s="13">
        <f>VLOOKUP(A46,'Quarterly Segmental Analysis'!$A$67:$BW$78,75,FALSE)</f>
        <v>115.1</v>
      </c>
      <c r="Q46" s="20">
        <v>153.80000000000001</v>
      </c>
      <c r="R46" s="20"/>
      <c r="S46" s="53"/>
      <c r="T46" s="53"/>
    </row>
    <row r="47" spans="1:20" ht="14">
      <c r="A47" s="327" t="s">
        <v>141</v>
      </c>
      <c r="B47" s="39" t="s">
        <v>102</v>
      </c>
      <c r="C47" s="7">
        <f t="shared" ref="C47:K47" si="24">IF(OR(((C46-B46)/B46)&gt;=100%,((C46-B46)/B46)&lt;=-100%),"&gt;100%",((C46-B46)/ABS(B46)))</f>
        <v>-0.18212478920741987</v>
      </c>
      <c r="D47" s="7">
        <f t="shared" si="24"/>
        <v>-5.6701030927834906E-2</v>
      </c>
      <c r="E47" s="17">
        <f t="shared" si="24"/>
        <v>-0.16939890710382527</v>
      </c>
      <c r="F47" s="18">
        <f t="shared" si="24"/>
        <v>-0.64740867105263156</v>
      </c>
      <c r="G47" s="7">
        <f t="shared" si="24"/>
        <v>0.55259140836783527</v>
      </c>
      <c r="H47" s="7">
        <f t="shared" si="24"/>
        <v>0.39166967888394033</v>
      </c>
      <c r="I47" s="7">
        <f t="shared" si="24"/>
        <v>0.70293609671848012</v>
      </c>
      <c r="J47" s="7">
        <f t="shared" si="24"/>
        <v>-1.5212981744421908E-2</v>
      </c>
      <c r="K47" s="7">
        <f t="shared" si="24"/>
        <v>-4.9433573635427365E-2</v>
      </c>
      <c r="L47" s="7">
        <f>IF(OR(((L46-K46)/K46)&gt;=100%,((L46-K46)/K46)&lt;=-100%),"&gt;100%",((L46-K46)/ABS(K46)))</f>
        <v>0.48429035752979421</v>
      </c>
      <c r="M47" s="7">
        <f>IF(OR(((M46-L46)/L46)&gt;=100%,((M46-L46)/L46)&lt;=-100%),"&gt;100%",((M46-L46)/ABS(L46)))</f>
        <v>6.8613138686131434E-2</v>
      </c>
      <c r="N47" s="7">
        <f>IF(OR(((N46-M46)/M46)&gt;=100%,((N46-M46)/M46)&lt;=-100%),"&gt;100%",((N46-M46)/ABS(M46)))</f>
        <v>-0.30259562841530063</v>
      </c>
      <c r="O47" s="7">
        <v>4.3095004897159672E-2</v>
      </c>
      <c r="P47" s="7">
        <f>IF(OR(((P46-O46)/O46)&gt;=100%,((P46-O46)/O46)&lt;=-100%),"&gt;100%",((P46-O46)/ABS(O46)))</f>
        <v>8.075117370892014E-2</v>
      </c>
      <c r="Q47" s="18">
        <f>IF(OR(((Q46-P46)/P46)&gt;=100%,((Q46-P46)/P46)&lt;=-100%),"&gt;100%",((Q46-P46)/ABS(P46)))</f>
        <v>0.33622936576889678</v>
      </c>
      <c r="R47" s="18"/>
      <c r="S47" s="53"/>
      <c r="T47" s="53"/>
    </row>
    <row r="48" spans="1:20" ht="14">
      <c r="A48" s="328" t="s">
        <v>103</v>
      </c>
      <c r="B48" s="24">
        <f>+B46/$B$19</f>
        <v>8.7956096113912779E-2</v>
      </c>
      <c r="C48" s="24">
        <f>+C46/$C$19</f>
        <v>8.4413889130623976E-2</v>
      </c>
      <c r="D48" s="24">
        <f>'Quarterly Segmental Analysis'!G72</f>
        <v>8.0263157894736856E-2</v>
      </c>
      <c r="E48" s="25">
        <f>'Quarterly Segmental Analysis'!M72</f>
        <v>6.5432630219543694E-2</v>
      </c>
      <c r="F48" s="26">
        <f>'Quarterly Segmental Analysis'!W72</f>
        <v>2.3340249978224901E-2</v>
      </c>
      <c r="G48" s="24">
        <f>'Quarterly Segmental Analysis'!AC72</f>
        <v>3.7630879492709664E-2</v>
      </c>
      <c r="H48" s="24">
        <f>'Quarterly Segmental Analysis'!AI72</f>
        <v>5.4928374916990798E-2</v>
      </c>
      <c r="I48" s="24">
        <f>'Quarterly Segmental Analysis'!AN72</f>
        <v>9.0293040293040291E-2</v>
      </c>
      <c r="J48" s="24">
        <f>'Quarterly Segmental Analysis'!AS72</f>
        <v>8.8740632425516344E-2</v>
      </c>
      <c r="K48" s="24">
        <f>'Quarterly Segmental Analysis'!AX72</f>
        <v>7.8660303391852732E-2</v>
      </c>
      <c r="L48" s="24">
        <v>0.105</v>
      </c>
      <c r="M48" s="24">
        <v>0.108</v>
      </c>
      <c r="N48" s="24">
        <v>8.6999999999999994E-2</v>
      </c>
      <c r="O48" s="24">
        <v>7.8E-2</v>
      </c>
      <c r="P48" s="24">
        <f>'Quarterly Segmental Analysis'!BW72</f>
        <v>6.7000000000000004E-2</v>
      </c>
      <c r="Q48" s="26">
        <v>7.3999999999999996E-2</v>
      </c>
      <c r="R48" s="26"/>
      <c r="S48" s="53"/>
      <c r="T48" s="53"/>
    </row>
    <row r="49" spans="1:44" ht="14">
      <c r="A49" s="326" t="s">
        <v>15</v>
      </c>
      <c r="B49" s="13">
        <v>285.2</v>
      </c>
      <c r="C49" s="13">
        <v>226.3</v>
      </c>
      <c r="D49" s="13">
        <f>'Quarterly Segmental Analysis'!G73</f>
        <v>300.5</v>
      </c>
      <c r="E49" s="19">
        <f>'Quarterly Segmental Analysis'!M73</f>
        <v>197.8</v>
      </c>
      <c r="F49" s="20">
        <f>'Quarterly Segmental Analysis'!W73</f>
        <v>266.3</v>
      </c>
      <c r="G49" s="13">
        <f>'Quarterly Segmental Analysis'!AC73</f>
        <v>262.70343182670058</v>
      </c>
      <c r="H49" s="13">
        <f>'Quarterly Segmental Analysis'!AI73</f>
        <v>220.10000000000002</v>
      </c>
      <c r="I49" s="13">
        <f>'Quarterly Segmental Analysis'!AN73</f>
        <v>175.8</v>
      </c>
      <c r="J49" s="13">
        <f>'Quarterly Segmental Analysis'!AS73</f>
        <v>178.1</v>
      </c>
      <c r="K49" s="13">
        <f>'Quarterly Segmental Analysis'!AX73</f>
        <v>278.3</v>
      </c>
      <c r="L49" s="13">
        <v>303</v>
      </c>
      <c r="M49" s="13">
        <v>356.1</v>
      </c>
      <c r="N49" s="13">
        <v>361.2</v>
      </c>
      <c r="O49" s="13">
        <v>423.7</v>
      </c>
      <c r="P49" s="13">
        <f>VLOOKUP(A49,'Quarterly Segmental Analysis'!$A$67:$BW$78,75,FALSE)</f>
        <v>507.5</v>
      </c>
      <c r="Q49" s="20">
        <v>548.9</v>
      </c>
      <c r="R49" s="20"/>
      <c r="S49" s="53"/>
      <c r="T49" s="53"/>
    </row>
    <row r="50" spans="1:44" ht="14">
      <c r="A50" s="327" t="s">
        <v>141</v>
      </c>
      <c r="B50" s="39" t="s">
        <v>102</v>
      </c>
      <c r="C50" s="7">
        <f t="shared" ref="C50:K50" si="25">IF(OR(((C49-B49)/B49)&gt;=100%,((C49-B49)/B49)&lt;=-100%),"&gt;100%",((C49-B49)/ABS(B49)))</f>
        <v>-0.2065217391304347</v>
      </c>
      <c r="D50" s="7">
        <f t="shared" si="25"/>
        <v>0.3278833406981882</v>
      </c>
      <c r="E50" s="17">
        <f t="shared" si="25"/>
        <v>-0.34176372712146419</v>
      </c>
      <c r="F50" s="18">
        <f t="shared" si="25"/>
        <v>0.34630940343781597</v>
      </c>
      <c r="G50" s="7">
        <f t="shared" si="25"/>
        <v>-1.3505700988732374E-2</v>
      </c>
      <c r="H50" s="7">
        <f t="shared" si="25"/>
        <v>-0.1621731072580927</v>
      </c>
      <c r="I50" s="7">
        <f t="shared" si="25"/>
        <v>-0.20127214902317131</v>
      </c>
      <c r="J50" s="7">
        <f t="shared" si="25"/>
        <v>1.3083048919226296E-2</v>
      </c>
      <c r="K50" s="7">
        <f t="shared" si="25"/>
        <v>0.56260527793374515</v>
      </c>
      <c r="L50" s="7">
        <f>IF(OR(((L49-K49)/K49)&gt;=100%,((L49-K49)/K49)&lt;=-100%),"&gt;100%",((L49-K49)/ABS(K49)))</f>
        <v>8.8753144089112418E-2</v>
      </c>
      <c r="M50" s="7">
        <f>IF(OR(((M49-L49)/L49)&gt;=100%,((M49-L49)/L49)&lt;=-100%),"&gt;100%",((M49-L49)/ABS(L49)))</f>
        <v>0.17524752475247532</v>
      </c>
      <c r="N50" s="7">
        <f>IF(OR(((N49-M49)/M49)&gt;=100%,((N49-M49)/M49)&lt;=-100%),"&gt;100%",((N49-M49)/ABS(M49)))</f>
        <v>1.432181971356351E-2</v>
      </c>
      <c r="O50" s="7">
        <v>0.17303433001107416</v>
      </c>
      <c r="P50" s="7">
        <f>IF(OR(((P49-O49)/O49)&gt;=100%,((P49-O49)/O49)&lt;=-100%),"&gt;100%",((P49-O49)/ABS(O49)))</f>
        <v>0.19778144913854145</v>
      </c>
      <c r="Q50" s="18">
        <f>IF(OR(((Q49-P49)/P49)&gt;=100%,((Q49-P49)/P49)&lt;=-100%),"&gt;100%",((Q49-P49)/ABS(P49)))</f>
        <v>8.1576354679802912E-2</v>
      </c>
      <c r="R50" s="18"/>
      <c r="S50" s="53"/>
      <c r="T50" s="53"/>
    </row>
    <row r="51" spans="1:44" ht="14">
      <c r="A51" s="328" t="s">
        <v>103</v>
      </c>
      <c r="B51" s="24">
        <f>+B49/$B$21</f>
        <v>9.7394392651026188E-2</v>
      </c>
      <c r="C51" s="24">
        <f>+C49/$C$21</f>
        <v>9.1742003486439377E-2</v>
      </c>
      <c r="D51" s="24">
        <f>'Quarterly Segmental Analysis'!G75</f>
        <v>0.10659808442710181</v>
      </c>
      <c r="E51" s="25">
        <f>'Quarterly Segmental Analysis'!M75</f>
        <v>6.9943422913719952E-2</v>
      </c>
      <c r="F51" s="26">
        <f>'Quarterly Segmental Analysis'!W75</f>
        <v>8.3354200575935899E-2</v>
      </c>
      <c r="G51" s="24">
        <f>'Quarterly Segmental Analysis'!AC75</f>
        <v>8.1362559411143634E-2</v>
      </c>
      <c r="H51" s="24">
        <f>'Quarterly Segmental Analysis'!AI75</f>
        <v>7.3191008246874176E-2</v>
      </c>
      <c r="I51" s="24">
        <f>'Quarterly Segmental Analysis'!AN75</f>
        <v>6.3500521117263162E-2</v>
      </c>
      <c r="J51" s="24">
        <f>'Quarterly Segmental Analysis'!AS75</f>
        <v>6.5549358546368702E-2</v>
      </c>
      <c r="K51" s="24">
        <f>'Quarterly Segmental Analysis'!AX75</f>
        <v>9.5560210143185789E-2</v>
      </c>
      <c r="L51" s="24">
        <v>0.105</v>
      </c>
      <c r="M51" s="24">
        <v>0.113</v>
      </c>
      <c r="N51" s="24">
        <v>0.13</v>
      </c>
      <c r="O51" s="24">
        <v>0.127</v>
      </c>
      <c r="P51" s="24">
        <f>'Quarterly Segmental Analysis'!BW75</f>
        <v>0.113</v>
      </c>
      <c r="Q51" s="26">
        <v>0.11600000000000001</v>
      </c>
      <c r="R51" s="26"/>
      <c r="S51" s="53"/>
      <c r="T51" s="53"/>
    </row>
    <row r="52" spans="1:44" ht="14">
      <c r="A52" s="329" t="s">
        <v>140</v>
      </c>
      <c r="B52" s="43">
        <f>+B49+B46+B43</f>
        <v>660.3</v>
      </c>
      <c r="C52" s="43">
        <f>+C49+C46+C43</f>
        <v>650.90000000000009</v>
      </c>
      <c r="D52" s="43">
        <f>'Quarterly Segmental Analysis'!G76</f>
        <v>686.59999999999991</v>
      </c>
      <c r="E52" s="37">
        <f>'Quarterly Segmental Analysis'!M76</f>
        <v>522.79999999999995</v>
      </c>
      <c r="F52" s="38">
        <f>'Quarterly Segmental Analysis'!W76</f>
        <v>453.09694100000002</v>
      </c>
      <c r="G52" s="43">
        <f>'Quarterly Segmental Analysis'!AC76</f>
        <v>453.90900351999994</v>
      </c>
      <c r="H52" s="43">
        <f>'Quarterly Segmental Analysis'!AI76</f>
        <v>424.7</v>
      </c>
      <c r="I52" s="43">
        <f>'Quarterly Segmental Analysis'!AN76</f>
        <v>473.2</v>
      </c>
      <c r="J52" s="43">
        <f>'Quarterly Segmental Analysis'!AS76</f>
        <v>517.5</v>
      </c>
      <c r="K52" s="43">
        <f>'Quarterly Segmental Analysis'!AX76</f>
        <v>621</v>
      </c>
      <c r="L52" s="43">
        <v>680.7</v>
      </c>
      <c r="M52" s="43">
        <v>758.7</v>
      </c>
      <c r="N52" s="43">
        <v>672.3</v>
      </c>
      <c r="O52" s="43">
        <v>830.99999999999989</v>
      </c>
      <c r="P52" s="43">
        <f>VLOOKUP(A52,'Quarterly Segmental Analysis'!$A$67:$BW$78,75,FALSE)</f>
        <v>929.69999999999982</v>
      </c>
      <c r="Q52" s="38">
        <v>1083.8</v>
      </c>
      <c r="R52" s="38"/>
      <c r="S52" s="53"/>
      <c r="T52" s="53"/>
    </row>
    <row r="53" spans="1:44" ht="14">
      <c r="A53" s="330" t="s">
        <v>141</v>
      </c>
      <c r="B53" s="40" t="s">
        <v>102</v>
      </c>
      <c r="C53" s="44">
        <f t="shared" ref="C53:K53" si="26">IF(OR(((C52-B52)/B52)&gt;=100%,((C52-B52)/B52)&lt;=-100%),"&gt;100%",((C52-B52)/ABS(B52)))</f>
        <v>-1.4235953354535612E-2</v>
      </c>
      <c r="D53" s="44">
        <f t="shared" si="26"/>
        <v>5.484713473651838E-2</v>
      </c>
      <c r="E53" s="33">
        <f t="shared" si="26"/>
        <v>-0.23856685115059711</v>
      </c>
      <c r="F53" s="34">
        <f t="shared" si="26"/>
        <v>-0.13332643267023708</v>
      </c>
      <c r="G53" s="44">
        <f t="shared" si="26"/>
        <v>1.7922489571606415E-3</v>
      </c>
      <c r="H53" s="44">
        <f t="shared" si="26"/>
        <v>-6.4349909989641699E-2</v>
      </c>
      <c r="I53" s="44">
        <f t="shared" si="26"/>
        <v>0.11419825759359548</v>
      </c>
      <c r="J53" s="44">
        <f t="shared" si="26"/>
        <v>9.361792054099749E-2</v>
      </c>
      <c r="K53" s="44">
        <f t="shared" si="26"/>
        <v>0.2</v>
      </c>
      <c r="L53" s="44">
        <f>IF(OR(((L52-K52)/K52)&gt;=100%,((L52-K52)/K52)&lt;=-100%),"&gt;100%",((L52-K52)/ABS(K52)))</f>
        <v>9.6135265700483169E-2</v>
      </c>
      <c r="M53" s="44">
        <f>IF(OR(((M52-L52)/L52)&gt;=100%,((M52-L52)/L52)&lt;=-100%),"&gt;100%",((M52-L52)/ABS(L52)))</f>
        <v>0.11458792419568091</v>
      </c>
      <c r="N53" s="44">
        <f>IF(OR(((N52-M52)/M52)&gt;=100%,((N52-M52)/M52)&lt;=-100%),"&gt;100%",((N52-M52)/ABS(M52)))</f>
        <v>-0.11387900355871898</v>
      </c>
      <c r="O53" s="44">
        <v>0.23605533244087451</v>
      </c>
      <c r="P53" s="44">
        <f>IF(OR(((P52-O52)/O52)&gt;=100%,((P52-O52)/O52)&lt;=-100%),"&gt;100%",((P52-O52)/ABS(O52)))</f>
        <v>0.11877256317689525</v>
      </c>
      <c r="Q53" s="34">
        <f>IF(OR(((Q52-P52)/P52)&gt;=100%,((Q52-P52)/P52)&lt;=-100%),"&gt;100%",((Q52-P52)/ABS(P52)))</f>
        <v>0.16575239324513302</v>
      </c>
      <c r="R53" s="34"/>
      <c r="S53" s="53"/>
      <c r="T53" s="53"/>
    </row>
    <row r="54" spans="1:44" ht="14.5" thickBot="1">
      <c r="A54" s="331" t="s">
        <v>103</v>
      </c>
      <c r="B54" s="45">
        <f>+B52/$B$23</f>
        <v>9.4589367828441254E-2</v>
      </c>
      <c r="C54" s="45">
        <f>+C52/$C$23</f>
        <v>9.9471239073293E-2</v>
      </c>
      <c r="D54" s="45">
        <f>'Quarterly Segmental Analysis'!G78</f>
        <v>0.10106570890249644</v>
      </c>
      <c r="E54" s="35">
        <f>'Quarterly Segmental Analysis'!M78</f>
        <v>7.6608589892003573E-2</v>
      </c>
      <c r="F54" s="36">
        <f>'Quarterly Segmental Analysis'!W78</f>
        <v>6.4317421749684175E-2</v>
      </c>
      <c r="G54" s="45">
        <f>'Quarterly Segmental Analysis'!AC78</f>
        <v>6.603273254582484E-2</v>
      </c>
      <c r="H54" s="45">
        <f>'Quarterly Segmental Analysis'!AI78</f>
        <v>6.5236091057110382E-2</v>
      </c>
      <c r="I54" s="45">
        <f>'Quarterly Segmental Analysis'!AN78</f>
        <v>7.4565143826555422E-2</v>
      </c>
      <c r="J54" s="45">
        <f>'Quarterly Segmental Analysis'!AS78</f>
        <v>8.3212653939823009E-2</v>
      </c>
      <c r="K54" s="45">
        <f>'Quarterly Segmental Analysis'!AX78</f>
        <v>9.5216191352345908E-2</v>
      </c>
      <c r="L54" s="45">
        <v>0.10199999999999999</v>
      </c>
      <c r="M54" s="45">
        <v>0.108</v>
      </c>
      <c r="N54" s="45">
        <v>0.11</v>
      </c>
      <c r="O54" s="45">
        <v>0.11600000000000001</v>
      </c>
      <c r="P54" s="45">
        <f>'Quarterly Segmental Analysis'!BW78</f>
        <v>0.10100000000000001</v>
      </c>
      <c r="Q54" s="36">
        <v>0.10642183817753338</v>
      </c>
      <c r="R54" s="36"/>
      <c r="S54" s="53"/>
      <c r="T54" s="53"/>
    </row>
    <row r="55" spans="1:44" ht="14">
      <c r="H55" s="15"/>
      <c r="I55" s="15"/>
      <c r="J55" s="15"/>
      <c r="K55" s="15"/>
      <c r="L55" s="15"/>
      <c r="M55" s="15"/>
      <c r="N55" s="15" t="s">
        <v>169</v>
      </c>
      <c r="O55" s="15" t="s">
        <v>169</v>
      </c>
      <c r="P55" s="15" t="s">
        <v>169</v>
      </c>
      <c r="S55" s="53"/>
      <c r="T55" s="53"/>
    </row>
    <row r="56" spans="1:44" ht="27" customHeight="1">
      <c r="A56" s="526" t="s">
        <v>62</v>
      </c>
      <c r="B56" s="526"/>
      <c r="C56" s="526"/>
      <c r="D56" s="526"/>
      <c r="E56" s="526"/>
      <c r="F56" s="526"/>
      <c r="G56" s="54"/>
      <c r="H56" s="54"/>
      <c r="I56" s="54"/>
      <c r="J56" s="54"/>
      <c r="K56" s="54"/>
      <c r="L56" s="54"/>
      <c r="M56" s="54"/>
      <c r="N56" s="54"/>
      <c r="O56" s="54"/>
      <c r="P56" s="54"/>
      <c r="Q56" s="54"/>
      <c r="R56" s="54"/>
      <c r="S56" s="53"/>
      <c r="T56" s="53"/>
      <c r="U56" s="54"/>
      <c r="V56" s="54"/>
      <c r="W56" s="54"/>
      <c r="X56" s="54"/>
      <c r="Y56" s="54"/>
      <c r="Z56" s="54"/>
      <c r="AA56" s="54"/>
      <c r="AB56" s="54"/>
      <c r="AC56" s="54"/>
      <c r="AD56" s="54"/>
      <c r="AE56" s="54"/>
      <c r="AF56" s="54"/>
      <c r="AG56" s="54"/>
      <c r="AH56" s="54"/>
      <c r="AI56" s="54"/>
      <c r="AJ56" s="54"/>
      <c r="AK56" s="54"/>
      <c r="AL56" s="54"/>
      <c r="AM56" s="54"/>
      <c r="AN56" s="70"/>
      <c r="AO56" s="54"/>
      <c r="AP56" s="54"/>
      <c r="AQ56" s="54"/>
      <c r="AR56" s="54"/>
    </row>
    <row r="57" spans="1:44" ht="41.15" customHeight="1">
      <c r="A57" s="530" t="s">
        <v>210</v>
      </c>
      <c r="B57" s="530"/>
      <c r="C57" s="530"/>
      <c r="D57" s="530"/>
      <c r="E57" s="530"/>
      <c r="F57" s="530"/>
      <c r="G57" s="530"/>
      <c r="H57" s="530"/>
      <c r="I57" s="530"/>
      <c r="J57" s="530"/>
      <c r="K57" s="530"/>
      <c r="L57" s="530"/>
      <c r="M57" s="530"/>
      <c r="N57" s="390"/>
      <c r="O57" s="390"/>
      <c r="P57" s="390"/>
      <c r="Q57" s="390"/>
      <c r="R57" s="390"/>
      <c r="S57" s="53"/>
      <c r="T57" s="53"/>
      <c r="U57" s="390"/>
      <c r="V57" s="390"/>
      <c r="W57" s="390"/>
      <c r="X57" s="390"/>
      <c r="Y57" s="390"/>
      <c r="Z57" s="390"/>
      <c r="AA57" s="390"/>
      <c r="AB57" s="390"/>
      <c r="AC57" s="390"/>
      <c r="AD57" s="390"/>
      <c r="AE57" s="390"/>
      <c r="AF57" s="390"/>
      <c r="AG57" s="390"/>
      <c r="AH57" s="390"/>
      <c r="AI57" s="390"/>
      <c r="AJ57" s="390"/>
      <c r="AK57" s="390"/>
      <c r="AL57" s="390"/>
      <c r="AM57" s="390"/>
      <c r="AN57" s="390"/>
      <c r="AO57" s="390"/>
      <c r="AP57" s="390"/>
      <c r="AQ57" s="390"/>
      <c r="AR57" s="390"/>
    </row>
    <row r="58" spans="1:44" ht="30" customHeight="1">
      <c r="A58" s="529" t="s">
        <v>121</v>
      </c>
      <c r="B58" s="529"/>
      <c r="C58" s="529"/>
      <c r="D58" s="529"/>
      <c r="E58" s="529"/>
      <c r="F58" s="529"/>
      <c r="G58" s="529"/>
      <c r="H58" s="529"/>
      <c r="I58" s="529"/>
      <c r="J58" s="529"/>
      <c r="K58" s="529"/>
      <c r="L58" s="529"/>
      <c r="M58" s="529"/>
      <c r="N58" s="390"/>
      <c r="O58" s="390"/>
      <c r="P58" s="390"/>
      <c r="Q58" s="390"/>
      <c r="R58" s="390"/>
      <c r="S58" s="53"/>
      <c r="T58" s="53"/>
      <c r="U58" s="390"/>
      <c r="V58" s="390"/>
      <c r="W58" s="390"/>
      <c r="X58" s="390"/>
      <c r="Y58" s="390"/>
      <c r="Z58" s="390"/>
      <c r="AA58" s="390"/>
      <c r="AB58" s="390"/>
      <c r="AC58" s="390"/>
      <c r="AD58" s="390"/>
      <c r="AE58" s="390"/>
      <c r="AF58" s="390"/>
      <c r="AG58" s="390"/>
      <c r="AH58" s="390"/>
      <c r="AI58" s="390"/>
      <c r="AJ58" s="390"/>
      <c r="AK58" s="390"/>
      <c r="AL58" s="390"/>
      <c r="AM58" s="390"/>
      <c r="AN58" s="390"/>
      <c r="AO58" s="390"/>
      <c r="AP58" s="390"/>
      <c r="AQ58" s="390"/>
      <c r="AR58" s="390"/>
    </row>
    <row r="59" spans="1:44" ht="31.4" customHeight="1">
      <c r="A59" s="529" t="s">
        <v>130</v>
      </c>
      <c r="B59" s="529"/>
      <c r="C59" s="529"/>
      <c r="D59" s="529"/>
      <c r="E59" s="529"/>
      <c r="F59" s="529"/>
      <c r="G59" s="529"/>
      <c r="H59" s="529"/>
      <c r="I59" s="529"/>
      <c r="J59" s="529"/>
      <c r="K59" s="529"/>
      <c r="L59" s="529"/>
      <c r="M59" s="529"/>
      <c r="N59" s="390"/>
      <c r="O59" s="390"/>
      <c r="P59" s="390"/>
      <c r="Q59" s="390"/>
      <c r="R59" s="390"/>
      <c r="S59" s="53"/>
      <c r="T59" s="53"/>
      <c r="U59" s="390"/>
      <c r="V59" s="390"/>
      <c r="W59" s="390"/>
      <c r="X59" s="390"/>
      <c r="Y59" s="390"/>
      <c r="Z59" s="390"/>
      <c r="AA59" s="390"/>
      <c r="AB59" s="390"/>
      <c r="AC59" s="390"/>
      <c r="AD59" s="390"/>
      <c r="AE59" s="390"/>
      <c r="AF59" s="390"/>
      <c r="AG59" s="390"/>
      <c r="AH59" s="390"/>
      <c r="AI59" s="390"/>
      <c r="AJ59" s="390"/>
      <c r="AK59" s="390"/>
      <c r="AL59" s="390"/>
      <c r="AM59" s="390"/>
      <c r="AN59" s="390"/>
      <c r="AO59" s="390"/>
      <c r="AP59" s="390"/>
      <c r="AQ59" s="390"/>
      <c r="AR59" s="390"/>
    </row>
    <row r="60" spans="1:44" ht="28.5" customHeight="1">
      <c r="A60" s="529" t="s">
        <v>99</v>
      </c>
      <c r="B60" s="529"/>
      <c r="C60" s="529"/>
      <c r="D60" s="529"/>
      <c r="E60" s="529"/>
      <c r="F60" s="529"/>
      <c r="G60" s="529"/>
      <c r="H60" s="529"/>
      <c r="I60" s="529"/>
      <c r="J60" s="529"/>
      <c r="K60" s="529"/>
      <c r="L60" s="529"/>
      <c r="M60" s="529"/>
      <c r="N60" s="390"/>
      <c r="O60" s="390"/>
      <c r="P60" s="390"/>
      <c r="Q60" s="390"/>
      <c r="R60" s="390"/>
      <c r="S60" s="53"/>
      <c r="T60" s="53"/>
      <c r="U60" s="390"/>
      <c r="V60" s="390"/>
      <c r="W60" s="390"/>
      <c r="X60" s="390"/>
      <c r="Y60" s="390"/>
      <c r="Z60" s="390"/>
      <c r="AA60" s="390"/>
      <c r="AB60" s="390"/>
      <c r="AC60" s="390"/>
      <c r="AD60" s="390"/>
      <c r="AE60" s="390"/>
      <c r="AF60" s="390"/>
      <c r="AG60" s="390"/>
      <c r="AH60" s="390"/>
      <c r="AI60" s="390"/>
      <c r="AJ60" s="390"/>
      <c r="AK60" s="390"/>
      <c r="AL60" s="390"/>
      <c r="AM60" s="390"/>
      <c r="AN60" s="390"/>
      <c r="AO60" s="390"/>
      <c r="AP60" s="390"/>
      <c r="AQ60" s="390"/>
      <c r="AR60" s="390"/>
    </row>
    <row r="61" spans="1:44" ht="30" customHeight="1">
      <c r="A61" s="529" t="s">
        <v>131</v>
      </c>
      <c r="B61" s="529"/>
      <c r="C61" s="529"/>
      <c r="D61" s="529"/>
      <c r="E61" s="529"/>
      <c r="F61" s="529"/>
      <c r="G61" s="529"/>
      <c r="H61" s="529"/>
      <c r="I61" s="529"/>
      <c r="J61" s="529"/>
      <c r="K61" s="529"/>
      <c r="L61" s="529"/>
      <c r="M61" s="529"/>
      <c r="N61" s="390"/>
      <c r="O61" s="390"/>
      <c r="P61" s="390"/>
      <c r="Q61" s="390"/>
      <c r="R61" s="390"/>
      <c r="S61" s="53"/>
      <c r="T61" s="53"/>
      <c r="U61" s="390"/>
      <c r="V61" s="390"/>
      <c r="W61" s="390"/>
      <c r="X61" s="390"/>
      <c r="Y61" s="390"/>
      <c r="Z61" s="390"/>
      <c r="AA61" s="390"/>
      <c r="AB61" s="390"/>
      <c r="AC61" s="390"/>
      <c r="AD61" s="390"/>
      <c r="AE61" s="390"/>
      <c r="AF61" s="390"/>
      <c r="AG61" s="390"/>
      <c r="AH61" s="390"/>
      <c r="AI61" s="390"/>
      <c r="AJ61" s="390"/>
      <c r="AK61" s="390"/>
      <c r="AL61" s="390"/>
      <c r="AM61" s="390"/>
      <c r="AN61" s="390"/>
      <c r="AO61" s="390"/>
      <c r="AP61" s="390"/>
      <c r="AQ61" s="390"/>
      <c r="AR61" s="390"/>
    </row>
    <row r="62" spans="1:44" ht="12.65" customHeight="1">
      <c r="A62" s="391"/>
      <c r="B62" s="391"/>
      <c r="C62" s="391"/>
      <c r="D62" s="391"/>
      <c r="E62" s="391"/>
      <c r="F62" s="391"/>
      <c r="G62" s="391"/>
      <c r="H62" s="391"/>
      <c r="I62" s="391"/>
      <c r="J62" s="391"/>
      <c r="K62" s="391"/>
      <c r="L62" s="391"/>
      <c r="M62" s="391"/>
      <c r="N62" s="391"/>
      <c r="O62" s="391"/>
      <c r="P62" s="391"/>
      <c r="Q62" s="391"/>
      <c r="R62" s="391"/>
      <c r="S62" s="53"/>
      <c r="T62" s="53"/>
      <c r="U62" s="391"/>
      <c r="V62" s="391"/>
      <c r="W62" s="391"/>
      <c r="X62" s="391"/>
      <c r="Y62" s="391"/>
      <c r="Z62" s="391"/>
      <c r="AA62" s="391"/>
      <c r="AB62" s="391"/>
      <c r="AC62" s="391"/>
      <c r="AD62" s="391"/>
      <c r="AE62" s="391"/>
      <c r="AF62" s="391"/>
      <c r="AG62" s="391"/>
      <c r="AH62" s="391"/>
      <c r="AI62" s="391"/>
      <c r="AJ62" s="391"/>
      <c r="AK62" s="391"/>
      <c r="AL62" s="391"/>
      <c r="AM62" s="391"/>
      <c r="AN62" s="391"/>
      <c r="AO62" s="391"/>
      <c r="AP62" s="391"/>
      <c r="AQ62" s="391"/>
      <c r="AR62" s="54"/>
    </row>
    <row r="63" spans="1:44" ht="14">
      <c r="S63" s="53"/>
      <c r="T63" s="53"/>
    </row>
    <row r="64" spans="1:44">
      <c r="B64" s="2"/>
      <c r="C64" s="2"/>
      <c r="D64" s="2"/>
      <c r="E64" s="2"/>
      <c r="F64" s="2"/>
    </row>
    <row r="65" spans="2:24" ht="13.5" customHeight="1">
      <c r="B65" s="2"/>
      <c r="C65" s="2"/>
      <c r="D65" s="2"/>
      <c r="E65" s="2"/>
      <c r="F65" s="2"/>
      <c r="H65" s="16"/>
      <c r="I65" s="16"/>
      <c r="J65" s="16"/>
      <c r="K65" s="16"/>
      <c r="L65" s="16"/>
      <c r="M65" s="16"/>
      <c r="N65" s="16"/>
      <c r="O65" s="16"/>
      <c r="P65" s="16"/>
      <c r="Q65" s="16"/>
      <c r="R65" s="16"/>
      <c r="S65" s="16"/>
      <c r="T65" s="16"/>
      <c r="U65" s="16"/>
      <c r="V65" s="16"/>
      <c r="W65" s="16"/>
      <c r="X65" s="16"/>
    </row>
    <row r="66" spans="2:24">
      <c r="B66" s="2"/>
      <c r="C66" s="2"/>
      <c r="D66" s="2"/>
      <c r="E66" s="2"/>
      <c r="F66" s="2"/>
      <c r="H66" s="16"/>
      <c r="I66" s="16"/>
      <c r="J66" s="16"/>
      <c r="K66" s="16"/>
      <c r="L66" s="16"/>
      <c r="M66" s="16"/>
      <c r="N66" s="16"/>
      <c r="O66" s="16"/>
      <c r="P66" s="16"/>
      <c r="Q66" s="16"/>
      <c r="R66" s="16"/>
      <c r="S66" s="16"/>
      <c r="T66" s="16"/>
      <c r="U66" s="16"/>
      <c r="V66" s="16"/>
      <c r="W66" s="16"/>
      <c r="X66" s="16"/>
    </row>
  </sheetData>
  <mergeCells count="6">
    <mergeCell ref="A61:M61"/>
    <mergeCell ref="A56:F56"/>
    <mergeCell ref="A57:M57"/>
    <mergeCell ref="A58:M58"/>
    <mergeCell ref="A59:M59"/>
    <mergeCell ref="A60:M60"/>
  </mergeCells>
  <pageMargins left="0.31496062992125984" right="0.19685039370078741" top="0.86614173228346458" bottom="0.31496062992125984" header="0.31496062992125984" footer="0.31496062992125984"/>
  <pageSetup paperSize="9" scale="67" fitToHeight="2" orientation="portrait" r:id="rId1"/>
  <customProperties>
    <customPr name="EpmWorksheetKeyString_GUID" r:id="rId2"/>
  </customProperties>
  <ignoredErrors>
    <ignoredError sqref="C12:M12 C10:M10 C8:M8 D26:M26 D20:D22 E20:M25 E19:M19 D23:D25 C23:C25" formula="1"/>
  </ignoredError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A1:Q13"/>
  <sheetViews>
    <sheetView showGridLines="0" zoomScale="70" zoomScaleNormal="70" workbookViewId="0">
      <selection activeCell="A25" sqref="A25"/>
    </sheetView>
  </sheetViews>
  <sheetFormatPr defaultColWidth="8.54296875" defaultRowHeight="14" outlineLevelCol="1"/>
  <cols>
    <col min="1" max="1" width="49" style="6" customWidth="1"/>
    <col min="2" max="12" width="8.54296875" style="6" customWidth="1" outlineLevel="1"/>
    <col min="13" max="16" width="8.54296875" style="6"/>
    <col min="17" max="19" width="9.453125" style="6" customWidth="1"/>
    <col min="20" max="16384" width="8.54296875" style="6"/>
  </cols>
  <sheetData>
    <row r="1" spans="1:17" s="2" customFormat="1" ht="12.5">
      <c r="A1" s="1"/>
      <c r="B1" s="1"/>
      <c r="C1" s="1"/>
      <c r="D1" s="1"/>
      <c r="E1" s="1"/>
      <c r="F1" s="1"/>
      <c r="G1" s="1"/>
      <c r="H1" s="1"/>
      <c r="I1" s="1"/>
      <c r="J1" s="1"/>
      <c r="K1" s="1"/>
      <c r="L1" s="1"/>
      <c r="M1" s="1"/>
      <c r="N1" s="1"/>
      <c r="O1" s="1"/>
      <c r="P1" s="1"/>
    </row>
    <row r="2" spans="1:17" s="2" customFormat="1" ht="19">
      <c r="A2" s="47" t="s">
        <v>144</v>
      </c>
      <c r="B2" s="48"/>
      <c r="C2" s="48"/>
      <c r="D2" s="48"/>
      <c r="E2" s="48"/>
      <c r="F2" s="48"/>
      <c r="G2" s="48"/>
      <c r="H2" s="48"/>
      <c r="I2" s="48"/>
      <c r="J2" s="48"/>
      <c r="K2" s="48"/>
      <c r="L2" s="48"/>
      <c r="M2" s="48"/>
      <c r="N2" s="48"/>
      <c r="O2" s="48"/>
      <c r="P2" s="48"/>
    </row>
    <row r="3" spans="1:17" ht="14.5" thickBot="1"/>
    <row r="4" spans="1:17" s="23" customFormat="1" ht="20.149999999999999" customHeight="1">
      <c r="A4" s="106" t="s">
        <v>119</v>
      </c>
      <c r="B4" s="107">
        <f>'Annual Financial Statements'!B5</f>
        <v>2008</v>
      </c>
      <c r="C4" s="107">
        <f>'Annual Financial Statements'!C5</f>
        <v>2009</v>
      </c>
      <c r="D4" s="107">
        <f>'Annual Financial Statements'!D5</f>
        <v>2010</v>
      </c>
      <c r="E4" s="107" t="str">
        <f>'Annual Financial Statements'!E5</f>
        <v>2011*</v>
      </c>
      <c r="F4" s="107" t="str">
        <f>'Annual Financial Statements'!F5</f>
        <v>2012*</v>
      </c>
      <c r="G4" s="107">
        <f>'Annual Financial Statements'!G5</f>
        <v>2013</v>
      </c>
      <c r="H4" s="107">
        <f>'Annual Financial Statements'!H5</f>
        <v>2014</v>
      </c>
      <c r="I4" s="107">
        <f>'Annual Financial Statements'!I5</f>
        <v>2015</v>
      </c>
      <c r="J4" s="107">
        <v>2016</v>
      </c>
      <c r="K4" s="107">
        <v>2017</v>
      </c>
      <c r="L4" s="107">
        <v>2018</v>
      </c>
      <c r="M4" s="107">
        <v>2019</v>
      </c>
      <c r="N4" s="107">
        <v>2020</v>
      </c>
      <c r="O4" s="461">
        <v>2021</v>
      </c>
      <c r="P4" s="457">
        <v>2022</v>
      </c>
      <c r="Q4" s="457">
        <v>2023</v>
      </c>
    </row>
    <row r="5" spans="1:17">
      <c r="A5" s="59" t="s">
        <v>113</v>
      </c>
      <c r="B5" s="60">
        <v>0.35806690705436145</v>
      </c>
      <c r="C5" s="60">
        <v>0.37356044854336468</v>
      </c>
      <c r="D5" s="60">
        <v>0.35680393288403339</v>
      </c>
      <c r="E5" s="60">
        <v>0.34504118160222197</v>
      </c>
      <c r="F5" s="60">
        <v>0.33574981443873569</v>
      </c>
      <c r="G5" s="60">
        <v>0.33628238929263149</v>
      </c>
      <c r="H5" s="60">
        <v>0.3443458926598702</v>
      </c>
      <c r="I5" s="60">
        <v>0.35305687295640392</v>
      </c>
      <c r="J5" s="60">
        <v>0.35153437264246801</v>
      </c>
      <c r="K5" s="60">
        <v>0.35</v>
      </c>
      <c r="L5" s="60">
        <v>0.36</v>
      </c>
      <c r="M5" s="60">
        <v>0.35279442918538167</v>
      </c>
      <c r="N5" s="60">
        <v>0.34851847725573143</v>
      </c>
      <c r="O5" s="60">
        <v>0.33</v>
      </c>
      <c r="P5" s="61">
        <v>0.3</v>
      </c>
      <c r="Q5" s="61">
        <v>0.27</v>
      </c>
    </row>
    <row r="6" spans="1:17">
      <c r="A6" s="62" t="s">
        <v>139</v>
      </c>
      <c r="B6" s="63">
        <v>0.10785867358720638</v>
      </c>
      <c r="C6" s="63">
        <v>0.10835319031778333</v>
      </c>
      <c r="D6" s="63">
        <v>0.11191228709439018</v>
      </c>
      <c r="E6" s="63">
        <v>0.11834811485803101</v>
      </c>
      <c r="F6" s="63">
        <v>0.13758013653883241</v>
      </c>
      <c r="G6" s="63">
        <v>0.1346134456880364</v>
      </c>
      <c r="H6" s="63">
        <v>0.12610779422964086</v>
      </c>
      <c r="I6" s="63">
        <v>0.11356162210667763</v>
      </c>
      <c r="J6" s="63">
        <v>0.117528486450062</v>
      </c>
      <c r="K6" s="63">
        <v>0.11</v>
      </c>
      <c r="L6" s="63">
        <v>0.09</v>
      </c>
      <c r="M6" s="63">
        <v>8.1278590442033061E-2</v>
      </c>
      <c r="N6" s="63">
        <v>9.2631179315998624E-2</v>
      </c>
      <c r="O6" s="63">
        <v>0.09</v>
      </c>
      <c r="P6" s="64">
        <v>0.09</v>
      </c>
      <c r="Q6" s="64">
        <v>0.12</v>
      </c>
    </row>
    <row r="7" spans="1:17">
      <c r="A7" s="59" t="s">
        <v>114</v>
      </c>
      <c r="B7" s="60">
        <v>9.2386638595626056E-2</v>
      </c>
      <c r="C7" s="60">
        <v>7.3242969692975612E-2</v>
      </c>
      <c r="D7" s="60">
        <v>8.0260719200845182E-2</v>
      </c>
      <c r="E7" s="60">
        <v>8.81489848241227E-2</v>
      </c>
      <c r="F7" s="60">
        <v>8.3967542631784201E-2</v>
      </c>
      <c r="G7" s="60">
        <v>7.7515611212645552E-2</v>
      </c>
      <c r="H7" s="60">
        <v>6.9502519266227636E-2</v>
      </c>
      <c r="I7" s="60">
        <v>6.9107447956560347E-2</v>
      </c>
      <c r="J7" s="60">
        <v>6.585317779719925E-2</v>
      </c>
      <c r="K7" s="60">
        <v>7.0000000000000007E-2</v>
      </c>
      <c r="L7" s="60">
        <v>0.08</v>
      </c>
      <c r="M7" s="60">
        <v>8.0446897719269037E-2</v>
      </c>
      <c r="N7" s="60">
        <v>7.3094959200221174E-2</v>
      </c>
      <c r="O7" s="60">
        <v>7.0000000000000007E-2</v>
      </c>
      <c r="P7" s="61">
        <v>0.08</v>
      </c>
      <c r="Q7" s="61">
        <v>7.0000000000000007E-2</v>
      </c>
    </row>
    <row r="8" spans="1:17">
      <c r="A8" s="65" t="s">
        <v>115</v>
      </c>
      <c r="B8" s="63">
        <v>0.04</v>
      </c>
      <c r="C8" s="63">
        <v>0.04</v>
      </c>
      <c r="D8" s="63">
        <v>4.199320519869322E-2</v>
      </c>
      <c r="E8" s="63">
        <v>4.5773938709929268E-2</v>
      </c>
      <c r="F8" s="63">
        <v>5.241284707443844E-2</v>
      </c>
      <c r="G8" s="63">
        <v>5.0859267388136196E-2</v>
      </c>
      <c r="H8" s="63">
        <v>5.1512251197867107E-2</v>
      </c>
      <c r="I8" s="63">
        <v>5.4491177280737116E-2</v>
      </c>
      <c r="J8" s="63">
        <v>5.2574506062245403E-2</v>
      </c>
      <c r="K8" s="63">
        <v>0.05</v>
      </c>
      <c r="L8" s="63">
        <v>0.05</v>
      </c>
      <c r="M8" s="63">
        <v>5.4261357133065617E-2</v>
      </c>
      <c r="N8" s="63">
        <v>5.7478552994820041E-2</v>
      </c>
      <c r="O8" s="63">
        <v>7.0000000000000007E-2</v>
      </c>
      <c r="P8" s="64">
        <v>7.0000000000000007E-2</v>
      </c>
      <c r="Q8" s="64">
        <v>7.0000000000000007E-2</v>
      </c>
    </row>
    <row r="9" spans="1:17">
      <c r="A9" s="59" t="s">
        <v>133</v>
      </c>
      <c r="B9" s="60"/>
      <c r="C9" s="60"/>
      <c r="D9" s="60"/>
      <c r="E9" s="60"/>
      <c r="F9" s="60"/>
      <c r="G9" s="60"/>
      <c r="H9" s="60"/>
      <c r="I9" s="60"/>
      <c r="J9" s="60"/>
      <c r="K9" s="60"/>
      <c r="L9" s="60"/>
      <c r="M9" s="60">
        <v>1.8948388784669323E-2</v>
      </c>
      <c r="N9" s="60">
        <v>1.019500983829431E-2</v>
      </c>
      <c r="O9" s="60">
        <v>0.01</v>
      </c>
      <c r="P9" s="61">
        <v>0.01</v>
      </c>
      <c r="Q9" s="61">
        <v>0.03</v>
      </c>
    </row>
    <row r="10" spans="1:17">
      <c r="A10" s="62" t="s">
        <v>138</v>
      </c>
      <c r="B10" s="63">
        <v>0.18732999268149156</v>
      </c>
      <c r="C10" s="63">
        <v>0.18715578922259124</v>
      </c>
      <c r="D10" s="63">
        <v>0.18460866394359057</v>
      </c>
      <c r="E10" s="63">
        <v>0.18455689819454696</v>
      </c>
      <c r="F10" s="63">
        <v>0.1706453595387159</v>
      </c>
      <c r="G10" s="63">
        <v>0.18117629484204784</v>
      </c>
      <c r="H10" s="63">
        <v>0.18258407533248447</v>
      </c>
      <c r="I10" s="63">
        <v>0.17950188790069299</v>
      </c>
      <c r="J10" s="63">
        <v>0.189055549023849</v>
      </c>
      <c r="K10" s="63">
        <v>0.2</v>
      </c>
      <c r="L10" s="63">
        <v>0.2</v>
      </c>
      <c r="M10" s="63">
        <v>0.18731747152285794</v>
      </c>
      <c r="N10" s="63">
        <v>0.17997386122884171</v>
      </c>
      <c r="O10" s="63">
        <v>0.19</v>
      </c>
      <c r="P10" s="64">
        <v>0.21</v>
      </c>
      <c r="Q10" s="64">
        <v>0.2</v>
      </c>
    </row>
    <row r="11" spans="1:17">
      <c r="A11" s="59" t="s">
        <v>116</v>
      </c>
      <c r="B11" s="60">
        <v>0.17132178889796074</v>
      </c>
      <c r="C11" s="60">
        <v>0.16880766256585586</v>
      </c>
      <c r="D11" s="60">
        <v>0.1703677476761625</v>
      </c>
      <c r="E11" s="60">
        <v>0.17070636345200776</v>
      </c>
      <c r="F11" s="60">
        <v>0.17701165051424467</v>
      </c>
      <c r="G11" s="60">
        <v>0.177116125499831</v>
      </c>
      <c r="H11" s="60">
        <v>0.18107807066996845</v>
      </c>
      <c r="I11" s="60">
        <v>0.18547083936136241</v>
      </c>
      <c r="J11" s="60">
        <v>0.1788664646110607</v>
      </c>
      <c r="K11" s="60">
        <v>0.18</v>
      </c>
      <c r="L11" s="60">
        <v>0.18</v>
      </c>
      <c r="M11" s="60">
        <v>0.1828882834729782</v>
      </c>
      <c r="N11" s="60">
        <v>0.1895759700217611</v>
      </c>
      <c r="O11" s="60">
        <v>0.21</v>
      </c>
      <c r="P11" s="61">
        <v>0.21</v>
      </c>
      <c r="Q11" s="61">
        <v>0.21</v>
      </c>
    </row>
    <row r="12" spans="1:17">
      <c r="A12" s="65" t="s">
        <v>117</v>
      </c>
      <c r="B12" s="63">
        <v>4.3035999183353671E-2</v>
      </c>
      <c r="C12" s="63">
        <v>4.8879939657429212E-2</v>
      </c>
      <c r="D12" s="63">
        <v>5.4053444002285018E-2</v>
      </c>
      <c r="E12" s="63">
        <v>4.7424518359140223E-2</v>
      </c>
      <c r="F12" s="63">
        <v>4.2632649263248473E-2</v>
      </c>
      <c r="G12" s="63">
        <v>4.243686607667134E-2</v>
      </c>
      <c r="H12" s="63">
        <v>4.4869396643941566E-2</v>
      </c>
      <c r="I12" s="63">
        <v>4.4810152437565788E-2</v>
      </c>
      <c r="J12" s="63">
        <v>4.4587443413115463E-2</v>
      </c>
      <c r="K12" s="63">
        <v>0.04</v>
      </c>
      <c r="L12" s="63">
        <v>0.04</v>
      </c>
      <c r="M12" s="63">
        <v>4.2066383086506023E-2</v>
      </c>
      <c r="N12" s="63">
        <v>4.8531990144331662E-2</v>
      </c>
      <c r="O12" s="63">
        <v>0.03</v>
      </c>
      <c r="P12" s="64">
        <v>0.03</v>
      </c>
      <c r="Q12" s="64">
        <v>0.03</v>
      </c>
    </row>
    <row r="13" spans="1:17" ht="14.5" thickBot="1">
      <c r="A13" s="66" t="s">
        <v>118</v>
      </c>
      <c r="B13" s="67">
        <f t="shared" ref="B13:M13" si="0">SUM(B5:B12)</f>
        <v>0.99999999999999989</v>
      </c>
      <c r="C13" s="67">
        <f t="shared" si="0"/>
        <v>1</v>
      </c>
      <c r="D13" s="67">
        <f t="shared" si="0"/>
        <v>1</v>
      </c>
      <c r="E13" s="67">
        <f t="shared" si="0"/>
        <v>0.99999999999999989</v>
      </c>
      <c r="F13" s="67">
        <f t="shared" si="0"/>
        <v>0.99999999999999978</v>
      </c>
      <c r="G13" s="67">
        <f t="shared" si="0"/>
        <v>0.99999999999999967</v>
      </c>
      <c r="H13" s="67">
        <f t="shared" si="0"/>
        <v>1.0000000000000002</v>
      </c>
      <c r="I13" s="67">
        <f t="shared" si="0"/>
        <v>1.0000000000000002</v>
      </c>
      <c r="J13" s="67">
        <f t="shared" si="0"/>
        <v>0.99999999999999989</v>
      </c>
      <c r="K13" s="67">
        <f t="shared" si="0"/>
        <v>1</v>
      </c>
      <c r="L13" s="67">
        <f t="shared" si="0"/>
        <v>1</v>
      </c>
      <c r="M13" s="67">
        <f t="shared" si="0"/>
        <v>1.0000018013467609</v>
      </c>
      <c r="N13" s="67">
        <f t="shared" ref="N13" si="1">SUM(N5:N12)</f>
        <v>1.0000000000000002</v>
      </c>
      <c r="O13" s="67">
        <v>1</v>
      </c>
      <c r="P13" s="68">
        <f>SUM(P5:P12)</f>
        <v>1</v>
      </c>
      <c r="Q13" s="68">
        <f>SUM(Q5:Q12)</f>
        <v>1</v>
      </c>
    </row>
  </sheetData>
  <pageMargins left="0.7" right="0.7" top="0.75" bottom="0.75" header="0.3" footer="0.3"/>
  <pageSetup paperSize="9" scale="86" fitToHeight="0" orientation="landscape" r:id="rId1"/>
  <customProperties>
    <customPr name="EpmWorksheetKeyString_GUID" r:id="rId2"/>
  </customProperties>
  <ignoredErrors>
    <ignoredError sqref="J13:M20" formulaRange="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db0a05c-3670-4fd9-820b-ecb2dcffb4c8">
      <Terms xmlns="http://schemas.microsoft.com/office/infopath/2007/PartnerControls"/>
    </lcf76f155ced4ddcb4097134ff3c332f>
    <TaxCatchAll xmlns="823f0d68-c379-4573-8d3e-08dc1910a5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Έγγραφο" ma:contentTypeID="0x0101003B5B7E3011DE7047B13607331C416510" ma:contentTypeVersion="16" ma:contentTypeDescription="Δημιουργία νέου εγγράφου" ma:contentTypeScope="" ma:versionID="446c104e8edf816775cbfc91aa477ced">
  <xsd:schema xmlns:xsd="http://www.w3.org/2001/XMLSchema" xmlns:xs="http://www.w3.org/2001/XMLSchema" xmlns:p="http://schemas.microsoft.com/office/2006/metadata/properties" xmlns:ns2="fdb0a05c-3670-4fd9-820b-ecb2dcffb4c8" xmlns:ns3="077fd3e1-74b2-49ac-8e46-be5d526617e1" xmlns:ns4="823f0d68-c379-4573-8d3e-08dc1910a5f2" targetNamespace="http://schemas.microsoft.com/office/2006/metadata/properties" ma:root="true" ma:fieldsID="0995a5184dbaa98da463b0585e9925e8" ns2:_="" ns3:_="" ns4:_="">
    <xsd:import namespace="fdb0a05c-3670-4fd9-820b-ecb2dcffb4c8"/>
    <xsd:import namespace="077fd3e1-74b2-49ac-8e46-be5d526617e1"/>
    <xsd:import namespace="823f0d68-c379-4573-8d3e-08dc1910a5f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4: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b0a05c-3670-4fd9-820b-ecb2dcffb4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Ετικέτες εικόνας" ma:readOnly="false" ma:fieldId="{5cf76f15-5ced-4ddc-b409-7134ff3c332f}" ma:taxonomyMulti="true" ma:sspId="0340c0e9-85e3-4c9e-9591-4c06a0be2c35"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77fd3e1-74b2-49ac-8e46-be5d526617e1" elementFormDefault="qualified">
    <xsd:import namespace="http://schemas.microsoft.com/office/2006/documentManagement/types"/>
    <xsd:import namespace="http://schemas.microsoft.com/office/infopath/2007/PartnerControls"/>
    <xsd:element name="SharedWithUsers" ma:index="12"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Κοινή χρήση με λεπτομέρειες"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23f0d68-c379-4573-8d3e-08dc1910a5f2"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9a9d39ec-cde3-4775-a960-cbeb33c80dc7}" ma:internalName="TaxCatchAll" ma:showField="CatchAllData" ma:web="077fd3e1-74b2-49ac-8e46-be5d526617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1E0B9F-17BE-482E-AB78-0CC6F3FDB185}">
  <ds:schemaRefs>
    <ds:schemaRef ds:uri="http://www.w3.org/XML/1998/namespace"/>
    <ds:schemaRef ds:uri="http://schemas.microsoft.com/office/2006/documentManagement/types"/>
    <ds:schemaRef ds:uri="a854f163-9c72-4422-b555-c7cf2427e557"/>
    <ds:schemaRef ds:uri="http://purl.org/dc/terms/"/>
    <ds:schemaRef ds:uri="http://purl.org/dc/dcmitype/"/>
    <ds:schemaRef ds:uri="http://schemas.microsoft.com/office/infopath/2007/PartnerControls"/>
    <ds:schemaRef ds:uri="http://schemas.openxmlformats.org/package/2006/metadata/core-properties"/>
    <ds:schemaRef ds:uri="3fb9b230-988a-4b40-95e9-7ac6f3082b7b"/>
    <ds:schemaRef ds:uri="http://schemas.microsoft.com/office/2006/metadata/properties"/>
    <ds:schemaRef ds:uri="http://purl.org/dc/elements/1.1/"/>
    <ds:schemaRef ds:uri="fdb0a05c-3670-4fd9-820b-ecb2dcffb4c8"/>
    <ds:schemaRef ds:uri="823f0d68-c379-4573-8d3e-08dc1910a5f2"/>
  </ds:schemaRefs>
</ds:datastoreItem>
</file>

<file path=customXml/itemProps2.xml><?xml version="1.0" encoding="utf-8"?>
<ds:datastoreItem xmlns:ds="http://schemas.openxmlformats.org/officeDocument/2006/customXml" ds:itemID="{0E0AFD3B-3488-453F-BB89-7CFEAF44660A}">
  <ds:schemaRefs>
    <ds:schemaRef ds:uri="http://schemas.microsoft.com/sharepoint/v3/contenttype/forms"/>
  </ds:schemaRefs>
</ds:datastoreItem>
</file>

<file path=customXml/itemProps3.xml><?xml version="1.0" encoding="utf-8"?>
<ds:datastoreItem xmlns:ds="http://schemas.openxmlformats.org/officeDocument/2006/customXml" ds:itemID="{DA0D2B44-D1F5-44E0-B765-74407B94EE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b0a05c-3670-4fd9-820b-ecb2dcffb4c8"/>
    <ds:schemaRef ds:uri="077fd3e1-74b2-49ac-8e46-be5d526617e1"/>
    <ds:schemaRef ds:uri="823f0d68-c379-4573-8d3e-08dc1910a5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a67a070-8ce9-4692-b1af-bf788306bc66}" enabled="0" method="" siteId="{7a67a070-8ce9-4692-b1af-bf788306bc66}"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Organic metrics</vt:lpstr>
      <vt:lpstr>Annual Financial Statements</vt:lpstr>
      <vt:lpstr>Interim Financial Statements</vt:lpstr>
      <vt:lpstr>Annual Volume figures</vt:lpstr>
      <vt:lpstr>Quarterly Segmental Analysis</vt:lpstr>
      <vt:lpstr>Annual Segmental Analysis</vt:lpstr>
      <vt:lpstr>Annual COGS Split</vt:lpstr>
      <vt:lpstr>'Annual COGS Split'!Print_Area</vt:lpstr>
      <vt:lpstr>'Annual Financial Statements'!Print_Area</vt:lpstr>
      <vt:lpstr>'Annual Segmental Analysis'!Print_Area</vt:lpstr>
      <vt:lpstr>'Annual Volume figures'!Print_Area</vt:lpstr>
      <vt:lpstr>'Interim Financial Statements'!Print_Area</vt:lpstr>
      <vt:lpstr>'Quarterly Segmental Analysis'!Print_Area</vt:lpstr>
      <vt:lpstr>'Interim Financial Statements'!Print_Titles</vt:lpstr>
    </vt:vector>
  </TitlesOfParts>
  <Company>CCHellenic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CCHuser</dc:creator>
  <cp:lastModifiedBy>Maria Livaniou</cp:lastModifiedBy>
  <cp:lastPrinted>2020-09-08T13:59:07Z</cp:lastPrinted>
  <dcterms:created xsi:type="dcterms:W3CDTF">2013-04-01T06:08:22Z</dcterms:created>
  <dcterms:modified xsi:type="dcterms:W3CDTF">2024-10-30T09:11:51Z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0x0101003B5B7E3011DE7047B13607331C416510</vt:lpwstr>
  </property>
  <property fmtid="{D5CDD505-2E9C-101B-9397-08002B2CF9AE}" pid="3" name="MediaServiceImageTags">
    <vt:lpwstr/>
  </property>
</Properties>
</file>